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1.220\igf\_KlimaEntLaster\2022_KEL_4_HAUSRAD\NMDLs\Skalierungsmodell MultiUse\"/>
    </mc:Choice>
  </mc:AlternateContent>
  <xr:revisionPtr revIDLastSave="0" documentId="13_ncr:1_{55D05F53-4A7E-420F-B9BE-C525F0629DA4}" xr6:coauthVersionLast="47" xr6:coauthVersionMax="47" xr10:uidLastSave="{00000000-0000-0000-0000-000000000000}"/>
  <bookViews>
    <workbookView xWindow="-108" yWindow="-108" windowWidth="23256" windowHeight="12456" activeTab="1" xr2:uid="{931D9FD8-7C64-4504-A4DF-CDB3172164BB}"/>
  </bookViews>
  <sheets>
    <sheet name="Beispiel Ankauf" sheetId="1" r:id="rId1"/>
    <sheet name="Beiblatt Erklärung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5" i="1" l="1"/>
  <c r="G125" i="1"/>
  <c r="H125" i="1"/>
  <c r="E125" i="1"/>
  <c r="D125" i="1"/>
  <c r="E124" i="1"/>
  <c r="F124" i="1"/>
  <c r="G124" i="1" s="1"/>
  <c r="H124" i="1" s="1"/>
  <c r="D124" i="1"/>
  <c r="H121" i="1"/>
  <c r="G121" i="1"/>
  <c r="F121" i="1"/>
  <c r="E121" i="1"/>
  <c r="D121" i="1"/>
  <c r="I121" i="1" s="1"/>
  <c r="D110" i="1"/>
  <c r="D111" i="1" s="1"/>
  <c r="E107" i="1"/>
  <c r="F107" i="1"/>
  <c r="G107" i="1"/>
  <c r="H107" i="1"/>
  <c r="D107" i="1"/>
  <c r="H100" i="1"/>
  <c r="F62" i="1"/>
  <c r="H17" i="1"/>
  <c r="G17" i="1"/>
  <c r="F17" i="1"/>
  <c r="E17" i="1"/>
  <c r="F63" i="1"/>
  <c r="E53" i="1"/>
  <c r="E56" i="1" s="1"/>
  <c r="F53" i="1"/>
  <c r="F56" i="1" s="1"/>
  <c r="G53" i="1"/>
  <c r="G56" i="1" s="1"/>
  <c r="H53" i="1"/>
  <c r="H56" i="1" s="1"/>
  <c r="E23" i="1"/>
  <c r="F23" i="1"/>
  <c r="G23" i="1"/>
  <c r="H23" i="1"/>
  <c r="E33" i="1"/>
  <c r="F33" i="1"/>
  <c r="G33" i="1"/>
  <c r="H33" i="1"/>
  <c r="D53" i="1"/>
  <c r="D56" i="1" s="1"/>
  <c r="D33" i="1"/>
  <c r="D17" i="1"/>
  <c r="D23" i="1"/>
  <c r="D66" i="1"/>
  <c r="E44" i="1"/>
  <c r="E47" i="1" s="1"/>
  <c r="D47" i="1"/>
  <c r="D40" i="1"/>
  <c r="D42" i="1" s="1"/>
  <c r="E38" i="1"/>
  <c r="F38" i="1" s="1"/>
  <c r="H38" i="1" s="1"/>
  <c r="D112" i="1" l="1"/>
  <c r="D114" i="1"/>
  <c r="I107" i="1"/>
  <c r="E110" i="1"/>
  <c r="E111" i="1" s="1"/>
  <c r="E114" i="1" s="1"/>
  <c r="I33" i="1"/>
  <c r="I23" i="1"/>
  <c r="I17" i="1"/>
  <c r="I56" i="1"/>
  <c r="F44" i="1"/>
  <c r="F47" i="1" s="1"/>
  <c r="E40" i="1"/>
  <c r="F40" i="1" s="1"/>
  <c r="G40" i="1" s="1"/>
  <c r="H40" i="1" s="1"/>
  <c r="G38" i="1"/>
  <c r="D49" i="1"/>
  <c r="G41" i="1"/>
  <c r="H41" i="1"/>
  <c r="F110" i="1" l="1"/>
  <c r="F111" i="1" s="1"/>
  <c r="F114" i="1" s="1"/>
  <c r="E112" i="1"/>
  <c r="D58" i="1"/>
  <c r="D99" i="1"/>
  <c r="H42" i="1"/>
  <c r="F42" i="1"/>
  <c r="F49" i="1" s="1"/>
  <c r="G42" i="1"/>
  <c r="E42" i="1"/>
  <c r="G44" i="1"/>
  <c r="G47" i="1" s="1"/>
  <c r="G110" i="1" l="1"/>
  <c r="G111" i="1" s="1"/>
  <c r="G114" i="1" s="1"/>
  <c r="F112" i="1"/>
  <c r="F58" i="1"/>
  <c r="F99" i="1"/>
  <c r="E49" i="1"/>
  <c r="I42" i="1"/>
  <c r="G49" i="1"/>
  <c r="G99" i="1" s="1"/>
  <c r="H44" i="1"/>
  <c r="H110" i="1" l="1"/>
  <c r="G112" i="1"/>
  <c r="E58" i="1"/>
  <c r="E99" i="1"/>
  <c r="G58" i="1"/>
  <c r="H47" i="1"/>
  <c r="H111" i="1" l="1"/>
  <c r="H114" i="1" s="1"/>
  <c r="I114" i="1" s="1"/>
  <c r="H49" i="1"/>
  <c r="I47" i="1"/>
  <c r="H112" i="1" l="1"/>
  <c r="I112" i="1" s="1"/>
  <c r="H58" i="1"/>
  <c r="H99" i="1"/>
  <c r="I100" i="1" s="1"/>
  <c r="I127" i="1" s="1"/>
  <c r="I58" i="1"/>
  <c r="F64" i="1" s="1"/>
  <c r="I49" i="1"/>
</calcChain>
</file>

<file path=xl/sharedStrings.xml><?xml version="1.0" encoding="utf-8"?>
<sst xmlns="http://schemas.openxmlformats.org/spreadsheetml/2006/main" count="151" uniqueCount="138">
  <si>
    <t>Miete</t>
  </si>
  <si>
    <t>Leasing</t>
  </si>
  <si>
    <t>Branding</t>
  </si>
  <si>
    <t>Druckkosten</t>
  </si>
  <si>
    <t>Radlgeber privat</t>
  </si>
  <si>
    <t>Radlgeber gewerblich</t>
  </si>
  <si>
    <t>Radlgeber Gemeinde</t>
  </si>
  <si>
    <t>Radlgeber Verein</t>
  </si>
  <si>
    <t>Bodenanker oder Bügel</t>
  </si>
  <si>
    <t>Smarte Radgarage</t>
  </si>
  <si>
    <t xml:space="preserve">Projektbetreuung </t>
  </si>
  <si>
    <t>Kümmerer</t>
  </si>
  <si>
    <t>Reparaturen</t>
  </si>
  <si>
    <t>Versicherung</t>
  </si>
  <si>
    <t>Verschleiß</t>
  </si>
  <si>
    <t>Nutzungsgebühr</t>
  </si>
  <si>
    <t>Spezialwünsche</t>
  </si>
  <si>
    <t>Jahr 1</t>
  </si>
  <si>
    <t>Jahr 2</t>
  </si>
  <si>
    <t>Jahr 3</t>
  </si>
  <si>
    <t>Jahr 4</t>
  </si>
  <si>
    <t>Jahr 5</t>
  </si>
  <si>
    <t>Schloss</t>
  </si>
  <si>
    <t>Gesamtkosten 5 Jahre</t>
  </si>
  <si>
    <t>Annahme Verleih mit Einnahmen</t>
  </si>
  <si>
    <t>Pro Stunde</t>
  </si>
  <si>
    <t>Stunden/Woche</t>
  </si>
  <si>
    <t>Jahreseinnahmen</t>
  </si>
  <si>
    <t>Verleihwochen/Jahr</t>
  </si>
  <si>
    <t>Wiederverkauf pro Rad</t>
  </si>
  <si>
    <t>(Kosten jeweils pro Rad angeben)</t>
  </si>
  <si>
    <t>Ankauf der Räder</t>
  </si>
  <si>
    <t>Anzahl E-Transporträder</t>
  </si>
  <si>
    <t>Konzept vorhanden oder neu?</t>
  </si>
  <si>
    <t>Lieferkosten: extra?</t>
  </si>
  <si>
    <t>für Gemeinden, inkl. Mwst., kein Vorsteuerabzug</t>
  </si>
  <si>
    <t>Aufwand Buchhaltung oder Software?</t>
  </si>
  <si>
    <t>?</t>
  </si>
  <si>
    <t>PR, Werbematerialien</t>
  </si>
  <si>
    <t>Zuschuss über 5 Jahre</t>
  </si>
  <si>
    <t>Gemeindekosten</t>
  </si>
  <si>
    <t>www.klimaentlaster.at</t>
  </si>
  <si>
    <t xml:space="preserve">Gemeindebeitrag </t>
  </si>
  <si>
    <t>Anzahl der gewünschten Räder eingeben:</t>
  </si>
  <si>
    <t>Summe Ausgaben</t>
  </si>
  <si>
    <t>Summe Eingänge</t>
  </si>
  <si>
    <t>Startbeitrag</t>
  </si>
  <si>
    <t>Jahresergebnis?</t>
  </si>
  <si>
    <t>Betriebskosten</t>
  </si>
  <si>
    <t>Abstellen</t>
  </si>
  <si>
    <t>Grafik Umsetzung</t>
  </si>
  <si>
    <t>Verleihtarif oder kostenlos? s.u.</t>
  </si>
  <si>
    <t>IT Plattform radverteiler.at</t>
  </si>
  <si>
    <t xml:space="preserve">Zeile 13, Förderung: </t>
  </si>
  <si>
    <t>Erläuterungen siehe Beiblatt auf nächstem Tabellenblatt</t>
  </si>
  <si>
    <t>Erläuterungen zu Kalkulationsblatt KlimaEntLaster Transportrad-Sharing</t>
  </si>
  <si>
    <t>Diese Zahl multipliziert die Kosten des angekauften Rads mal zahl der Räder, die Sie von diesem Modell kaufen.</t>
  </si>
  <si>
    <t>Bei mehreren verschiedenen Modellen bitte Tabelle selbst adaptieren.</t>
  </si>
  <si>
    <t>Alternativ zum Kauf können Sie mit Ihrem Händler</t>
  </si>
  <si>
    <t>Zeile 15/16, Miete:</t>
  </si>
  <si>
    <t xml:space="preserve">nachdem ob Sie bereits ein vorgefertigtes </t>
  </si>
  <si>
    <t>Zeile 19-22, Branding</t>
  </si>
  <si>
    <t xml:space="preserve">Zeile 29/30, Schloss: </t>
  </si>
  <si>
    <t>Sie brauchen jedenfalls ein gutes Schloss, Gewicht des Schlosses spielt bei Transporträdern keine Rolle</t>
  </si>
  <si>
    <t>Bodenanker oder Radabstellbügel sind notwendig, wenn Sie das Rad im öffentlichen Raum abstellen.</t>
  </si>
  <si>
    <t xml:space="preserve">Zeile 31/32, Boxen: </t>
  </si>
  <si>
    <t>https://www.radverteiler.at/</t>
  </si>
  <si>
    <t>Die Smarte Verleihbox beinhaltet Akku, Steckdose, Schlüssel und öffnet sich via Smartphone. Infos unter:</t>
  </si>
  <si>
    <t>Auch Radgaragen könenn mit diesem Mechanismus ausgestattet werden.</t>
  </si>
  <si>
    <t>Anmerkungen zu den jeweiligen Zeilen des Kalkulationsbalttes. Sie können es verwenden dun verändern wie Sie möchten.</t>
  </si>
  <si>
    <t>Zeile 35-41, Betrieb:</t>
  </si>
  <si>
    <t>Zeile 40, Versicherung:</t>
  </si>
  <si>
    <t>https://hepster.com/e-bike-versicherung</t>
  </si>
  <si>
    <t>Das kann sich natürlich laufend ändern.</t>
  </si>
  <si>
    <t>ist Hepster.</t>
  </si>
  <si>
    <t>Alle Infos:</t>
  </si>
  <si>
    <t>Zeile 44-46, Plattform:</t>
  </si>
  <si>
    <t>vom Betreiber brauchen. Für Beratungsstunden, Adaptionen und Zahlungsfunktion fallen Kosten an.</t>
  </si>
  <si>
    <t>Zeile 9, Anzahl Räder:</t>
  </si>
  <si>
    <t xml:space="preserve">Sie können Ihr Transportrad-Sharing über viele Quellen finanzieren. Die Frage, ob Einnahmen durch Verleihgebühren </t>
  </si>
  <si>
    <t>finanziell relevant sind (da ja dafür auch Verwaltungs- und IT-Kosten anfallen), ist nicht allgemein zu beantworten.</t>
  </si>
  <si>
    <t xml:space="preserve">Gute Fahrt! Fragen gerne an </t>
  </si>
  <si>
    <t>info@klimaentlaster.at</t>
  </si>
  <si>
    <t>eventuell Miet- oder Leasingoptionen besprechen</t>
  </si>
  <si>
    <t>Die Konzeptkosten fürs Branding variieren stark, je</t>
  </si>
  <si>
    <t>Corporate Design Ihrer Gemeinde anwenden oder neu</t>
  </si>
  <si>
    <t>für das Sharing entwerfen lassen. Druckkosten und Anbringen (Affichieren) auf dem Rad je nach lokalem Anbieter.</t>
  </si>
  <si>
    <t>Diese Kosten können stark variieren, sprechen Sie dazu mit Ihrem Transportradhändler oder Radwerkstätten.</t>
  </si>
  <si>
    <t xml:space="preserve">Die Nutzung der Webplattform ist kostenlos, falls Sie (Transport-)räder kostenlos verleihen und keine Serviceleistungen </t>
  </si>
  <si>
    <t>Die einzige Versicherung, die zum Zeitpunkt unserer Recherche bei E-Transporträdern auch Räder im Verleih = Sharing versichert,</t>
  </si>
  <si>
    <t>Kalkulationsblatt KlimaEntLaster MultiUse-Transportrad</t>
  </si>
  <si>
    <t>alle Angaben laut Wissensstand 4/2025</t>
  </si>
  <si>
    <t xml:space="preserve">Ankauf zB Riese &amp; Müller Packster </t>
  </si>
  <si>
    <t>Kaufförderung Bund/Land?</t>
  </si>
  <si>
    <t>Affichieren (erneuern nach Jahr 3)</t>
  </si>
  <si>
    <t>Smarte Verleihbox + Betriebskosten</t>
  </si>
  <si>
    <t>Gesamt</t>
  </si>
  <si>
    <t>Service (Preissteigerung)</t>
  </si>
  <si>
    <t>Zahlungsfunktion nur bei Mietrad</t>
  </si>
  <si>
    <t>A) Das E-Transportrad</t>
  </si>
  <si>
    <t>Finanzierung des Rads ohne Einnahmen</t>
  </si>
  <si>
    <t>April 2025</t>
  </si>
  <si>
    <t>Im April 2025 waren keine Förderungen auf Bundesbene abrufbar.</t>
  </si>
  <si>
    <t>Gibt es bei Ihnen Förderungen von Land oder Gemeinde?</t>
  </si>
  <si>
    <t xml:space="preserve">Zeile 53, Finanzierung: </t>
  </si>
  <si>
    <t>Dazu können Sie in Zeile 61-66 Einnahmen kalkulieren. Wir empfehlen einen Verkauf der Räder nach 5 Jahren, da</t>
  </si>
  <si>
    <t>danach die Wartungskosten stark steigen können, und dann den Ankauf neuer E-Transporträder.</t>
  </si>
  <si>
    <t>B) Aufwand im MultiUse Modell</t>
  </si>
  <si>
    <t>Im MultiUse Modell wird das Rad neben dem Einsatz als Sharing-Bike auch für Einkaufszustellung, Lieverservice und Catern eingesetzt</t>
  </si>
  <si>
    <t>Wir versuchen hier examplarisch, die Kostenposten anzuführen. Kein Anspruch auf Vollständigkeit!</t>
  </si>
  <si>
    <t>Nutzung "Public Sharing"</t>
  </si>
  <si>
    <t>Gemeindebeitrag Radkosten pro Jahr s.o.</t>
  </si>
  <si>
    <t>Erlös Verkaufspreis Gebrauchtrad</t>
  </si>
  <si>
    <t>Nutzung "Einkauf Lieferung"</t>
  </si>
  <si>
    <t>als Service eines lokalen (Super-)Marktes, kostenpflichtig</t>
  </si>
  <si>
    <t>Personalkosten übernimmt Supermarkt</t>
  </si>
  <si>
    <t>Einnahmen gehen an Supermarkt</t>
  </si>
  <si>
    <t>Beitrag Supermarkt für Betriebskosten</t>
  </si>
  <si>
    <t>Träger ist ein Verein, der sich um Betrieb, Wartung und Koordination kümmert. Die Gemeinde trägt die Kosten via Förderung.</t>
  </si>
  <si>
    <t>(Logopräsenz auf Transportrad)</t>
  </si>
  <si>
    <t>Summe Kostenbeitrag für Verein</t>
  </si>
  <si>
    <t>Nutzung "Soziales Service"</t>
  </si>
  <si>
    <t>kostenlose Besorgungen für Senior:innen und andere eingeschränkte Personen</t>
  </si>
  <si>
    <t>Summe Kostenaufwand für Verein</t>
  </si>
  <si>
    <t>Personalkosten Trägerverein 10h/Wo á 20€</t>
  </si>
  <si>
    <t>Kostenbeitrag der Gemeinde</t>
  </si>
  <si>
    <t>Beitrag Gemeinde zum Sozialen Service</t>
  </si>
  <si>
    <t>Nutzung "Catering"</t>
  </si>
  <si>
    <t>Ausgaben</t>
  </si>
  <si>
    <t>als Service eines lokalen Gastronomen</t>
  </si>
  <si>
    <t>Personalkosten übernimmt Gastronom</t>
  </si>
  <si>
    <t>Einnahmen gehen an Gastronom</t>
  </si>
  <si>
    <t>Beitrag Gastrobetrieb für Betriebskosten</t>
  </si>
  <si>
    <t>Gesamtaufwand für Gemeinde über fünf Jahre für Betrieb des Sharings und Soziales Service</t>
  </si>
  <si>
    <t>500 Wh Akku, 30 Cent/kWh = 15 Cent pro Ladung = 50km</t>
  </si>
  <si>
    <t>Anahme von km/Jahr bei 40km/Tag</t>
  </si>
  <si>
    <t>Stromkosten pro Jahr</t>
  </si>
  <si>
    <t>Summe Kosten für alle Beteiligten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</si>
</sst>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164" fontId="2" fillId="0" borderId="1" xfId="0" applyNumberFormat="1" applyFont="1" applyBorder="1"/>
    <xf numFmtId="164" fontId="0" fillId="0" borderId="1" xfId="0" applyNumberFormat="1" applyBorder="1"/>
    <xf numFmtId="0" fontId="4" fillId="0" borderId="1" xfId="1" applyBorder="1"/>
    <xf numFmtId="0" fontId="0" fillId="0" borderId="3" xfId="0" applyBorder="1"/>
    <xf numFmtId="164" fontId="0" fillId="0" borderId="5" xfId="0" applyNumberFormat="1" applyBorder="1"/>
    <xf numFmtId="164" fontId="0" fillId="2" borderId="2" xfId="0" applyNumberFormat="1" applyFill="1" applyBorder="1"/>
    <xf numFmtId="0" fontId="0" fillId="0" borderId="4" xfId="0" applyBorder="1"/>
    <xf numFmtId="164" fontId="0" fillId="0" borderId="4" xfId="0" applyNumberFormat="1" applyBorder="1"/>
    <xf numFmtId="0" fontId="0" fillId="4" borderId="8" xfId="0" applyFill="1" applyBorder="1"/>
    <xf numFmtId="0" fontId="0" fillId="4" borderId="9" xfId="0" applyFill="1" applyBorder="1"/>
    <xf numFmtId="0" fontId="0" fillId="4" borderId="11" xfId="0" applyFill="1" applyBorder="1"/>
    <xf numFmtId="0" fontId="1" fillId="4" borderId="6" xfId="0" applyFont="1" applyFill="1" applyBorder="1"/>
    <xf numFmtId="164" fontId="0" fillId="4" borderId="10" xfId="0" applyNumberFormat="1" applyFill="1" applyBorder="1"/>
    <xf numFmtId="164" fontId="0" fillId="4" borderId="13" xfId="0" applyNumberFormat="1" applyFill="1" applyBorder="1"/>
    <xf numFmtId="0" fontId="0" fillId="4" borderId="14" xfId="0" applyFill="1" applyBorder="1"/>
    <xf numFmtId="3" fontId="0" fillId="4" borderId="10" xfId="0" applyNumberFormat="1" applyFill="1" applyBorder="1"/>
    <xf numFmtId="3" fontId="0" fillId="4" borderId="15" xfId="0" applyNumberFormat="1" applyFill="1" applyBorder="1"/>
    <xf numFmtId="0" fontId="6" fillId="0" borderId="1" xfId="0" applyFont="1" applyBorder="1"/>
    <xf numFmtId="164" fontId="2" fillId="0" borderId="4" xfId="0" applyNumberFormat="1" applyFont="1" applyBorder="1"/>
    <xf numFmtId="3" fontId="0" fillId="4" borderId="15" xfId="0" applyNumberFormat="1" applyFill="1" applyBorder="1" applyAlignment="1">
      <alignment horizontal="right"/>
    </xf>
    <xf numFmtId="0" fontId="6" fillId="0" borderId="3" xfId="0" applyFont="1" applyBorder="1"/>
    <xf numFmtId="164" fontId="2" fillId="0" borderId="5" xfId="0" applyNumberFormat="1" applyFont="1" applyBorder="1"/>
    <xf numFmtId="0" fontId="5" fillId="5" borderId="2" xfId="0" applyFont="1" applyFill="1" applyBorder="1"/>
    <xf numFmtId="0" fontId="6" fillId="0" borderId="16" xfId="0" applyFont="1" applyBorder="1"/>
    <xf numFmtId="0" fontId="6" fillId="0" borderId="4" xfId="0" applyFont="1" applyBorder="1"/>
    <xf numFmtId="0" fontId="0" fillId="0" borderId="21" xfId="0" applyBorder="1"/>
    <xf numFmtId="0" fontId="0" fillId="0" borderId="22" xfId="0" applyBorder="1"/>
    <xf numFmtId="164" fontId="1" fillId="5" borderId="11" xfId="0" applyNumberFormat="1" applyFont="1" applyFill="1" applyBorder="1"/>
    <xf numFmtId="0" fontId="1" fillId="5" borderId="13" xfId="0" applyFont="1" applyFill="1" applyBorder="1"/>
    <xf numFmtId="164" fontId="0" fillId="4" borderId="1" xfId="0" applyNumberFormat="1" applyFill="1" applyBorder="1"/>
    <xf numFmtId="164" fontId="0" fillId="0" borderId="2" xfId="0" applyNumberFormat="1" applyBorder="1"/>
    <xf numFmtId="0" fontId="9" fillId="0" borderId="0" xfId="0" applyFont="1"/>
    <xf numFmtId="0" fontId="0" fillId="0" borderId="25" xfId="0" applyBorder="1"/>
    <xf numFmtId="0" fontId="2" fillId="0" borderId="25" xfId="0" applyFont="1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8" fillId="0" borderId="0" xfId="0" applyFont="1"/>
    <xf numFmtId="0" fontId="0" fillId="0" borderId="0" xfId="0" applyAlignment="1">
      <alignment horizontal="right"/>
    </xf>
    <xf numFmtId="0" fontId="0" fillId="0" borderId="23" xfId="0" applyBorder="1"/>
    <xf numFmtId="0" fontId="3" fillId="0" borderId="24" xfId="0" applyFont="1" applyBorder="1"/>
    <xf numFmtId="0" fontId="3" fillId="0" borderId="25" xfId="0" applyFont="1" applyBorder="1"/>
    <xf numFmtId="0" fontId="2" fillId="0" borderId="24" xfId="0" applyFont="1" applyBorder="1"/>
    <xf numFmtId="49" fontId="7" fillId="0" borderId="0" xfId="0" applyNumberFormat="1" applyFont="1" applyAlignment="1">
      <alignment horizontal="right"/>
    </xf>
    <xf numFmtId="0" fontId="10" fillId="0" borderId="0" xfId="1" applyFont="1" applyBorder="1" applyAlignment="1">
      <alignment horizontal="right"/>
    </xf>
    <xf numFmtId="164" fontId="0" fillId="0" borderId="17" xfId="0" applyNumberFormat="1" applyBorder="1"/>
    <xf numFmtId="164" fontId="0" fillId="7" borderId="4" xfId="0" applyNumberFormat="1" applyFill="1" applyBorder="1"/>
    <xf numFmtId="164" fontId="0" fillId="6" borderId="4" xfId="0" applyNumberFormat="1" applyFill="1" applyBorder="1"/>
    <xf numFmtId="0" fontId="11" fillId="0" borderId="0" xfId="0" applyFont="1"/>
    <xf numFmtId="0" fontId="1" fillId="5" borderId="12" xfId="0" applyFont="1" applyFill="1" applyBorder="1"/>
    <xf numFmtId="0" fontId="0" fillId="0" borderId="5" xfId="0" applyBorder="1"/>
    <xf numFmtId="0" fontId="2" fillId="0" borderId="18" xfId="0" applyFont="1" applyBorder="1"/>
    <xf numFmtId="164" fontId="1" fillId="2" borderId="19" xfId="0" applyNumberFormat="1" applyFont="1" applyFill="1" applyBorder="1"/>
    <xf numFmtId="164" fontId="1" fillId="2" borderId="20" xfId="0" applyNumberFormat="1" applyFont="1" applyFill="1" applyBorder="1"/>
    <xf numFmtId="0" fontId="2" fillId="0" borderId="29" xfId="0" applyFont="1" applyBorder="1"/>
    <xf numFmtId="0" fontId="0" fillId="0" borderId="17" xfId="0" applyBorder="1"/>
    <xf numFmtId="164" fontId="1" fillId="3" borderId="19" xfId="0" applyNumberFormat="1" applyFont="1" applyFill="1" applyBorder="1"/>
    <xf numFmtId="164" fontId="1" fillId="3" borderId="20" xfId="0" applyNumberFormat="1" applyFont="1" applyFill="1" applyBorder="1"/>
    <xf numFmtId="164" fontId="1" fillId="8" borderId="19" xfId="0" applyNumberFormat="1" applyFont="1" applyFill="1" applyBorder="1"/>
    <xf numFmtId="164" fontId="1" fillId="8" borderId="20" xfId="0" applyNumberFormat="1" applyFont="1" applyFill="1" applyBorder="1"/>
    <xf numFmtId="164" fontId="1" fillId="6" borderId="5" xfId="0" applyNumberFormat="1" applyFont="1" applyFill="1" applyBorder="1"/>
    <xf numFmtId="164" fontId="1" fillId="6" borderId="30" xfId="0" applyNumberFormat="1" applyFont="1" applyFill="1" applyBorder="1"/>
    <xf numFmtId="164" fontId="1" fillId="7" borderId="32" xfId="0" applyNumberFormat="1" applyFont="1" applyFill="1" applyBorder="1"/>
    <xf numFmtId="164" fontId="1" fillId="7" borderId="31" xfId="0" applyNumberFormat="1" applyFont="1" applyFill="1" applyBorder="1"/>
    <xf numFmtId="164" fontId="1" fillId="7" borderId="33" xfId="0" applyNumberFormat="1" applyFont="1" applyFill="1" applyBorder="1"/>
    <xf numFmtId="164" fontId="1" fillId="6" borderId="34" xfId="0" applyNumberFormat="1" applyFont="1" applyFill="1" applyBorder="1"/>
    <xf numFmtId="164" fontId="7" fillId="0" borderId="2" xfId="0" applyNumberFormat="1" applyFont="1" applyBorder="1"/>
    <xf numFmtId="164" fontId="7" fillId="0" borderId="2" xfId="0" applyNumberFormat="1" applyFont="1" applyBorder="1" applyAlignment="1">
      <alignment horizontal="right"/>
    </xf>
    <xf numFmtId="0" fontId="7" fillId="0" borderId="0" xfId="0" applyFont="1"/>
    <xf numFmtId="0" fontId="12" fillId="0" borderId="0" xfId="0" applyFont="1"/>
    <xf numFmtId="0" fontId="7" fillId="0" borderId="0" xfId="0" applyFont="1" applyAlignment="1">
      <alignment horizontal="right"/>
    </xf>
    <xf numFmtId="0" fontId="4" fillId="0" borderId="0" xfId="1" applyBorder="1"/>
    <xf numFmtId="0" fontId="13" fillId="0" borderId="0" xfId="0" applyFont="1" applyAlignment="1">
      <alignment horizontal="right"/>
    </xf>
    <xf numFmtId="164" fontId="0" fillId="0" borderId="35" xfId="0" applyNumberFormat="1" applyBorder="1"/>
    <xf numFmtId="164" fontId="0" fillId="6" borderId="2" xfId="0" applyNumberFormat="1" applyFill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/>
    <xf numFmtId="0" fontId="2" fillId="8" borderId="2" xfId="0" applyFont="1" applyFill="1" applyBorder="1"/>
    <xf numFmtId="0" fontId="6" fillId="0" borderId="6" xfId="0" applyFont="1" applyBorder="1"/>
    <xf numFmtId="0" fontId="0" fillId="0" borderId="11" xfId="0" applyBorder="1"/>
    <xf numFmtId="164" fontId="0" fillId="0" borderId="19" xfId="0" applyNumberFormat="1" applyFont="1" applyFill="1" applyBorder="1"/>
    <xf numFmtId="164" fontId="1" fillId="0" borderId="20" xfId="0" applyNumberFormat="1" applyFont="1" applyBorder="1"/>
    <xf numFmtId="0" fontId="0" fillId="0" borderId="12" xfId="0" applyFill="1" applyBorder="1"/>
    <xf numFmtId="164" fontId="0" fillId="0" borderId="13" xfId="0" applyNumberFormat="1" applyFont="1" applyFill="1" applyBorder="1"/>
    <xf numFmtId="164" fontId="0" fillId="0" borderId="37" xfId="0" applyNumberFormat="1" applyFont="1" applyFill="1" applyBorder="1"/>
    <xf numFmtId="164" fontId="1" fillId="0" borderId="2" xfId="0" applyNumberFormat="1" applyFont="1" applyFill="1" applyBorder="1"/>
    <xf numFmtId="164" fontId="1" fillId="0" borderId="2" xfId="0" applyNumberFormat="1" applyFont="1" applyBorder="1"/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164" fontId="0" fillId="0" borderId="0" xfId="0" applyNumberFormat="1" applyFont="1" applyFill="1" applyBorder="1"/>
    <xf numFmtId="0" fontId="0" fillId="0" borderId="0" xfId="0" applyFill="1" applyBorder="1"/>
    <xf numFmtId="164" fontId="1" fillId="0" borderId="0" xfId="0" applyNumberFormat="1" applyFont="1" applyFill="1" applyBorder="1"/>
    <xf numFmtId="0" fontId="2" fillId="6" borderId="29" xfId="0" applyFont="1" applyFill="1" applyBorder="1"/>
    <xf numFmtId="0" fontId="0" fillId="6" borderId="38" xfId="0" applyFill="1" applyBorder="1"/>
    <xf numFmtId="0" fontId="0" fillId="6" borderId="36" xfId="0" applyFill="1" applyBorder="1"/>
    <xf numFmtId="164" fontId="1" fillId="5" borderId="36" xfId="0" applyNumberFormat="1" applyFont="1" applyFill="1" applyBorder="1"/>
    <xf numFmtId="164" fontId="1" fillId="9" borderId="2" xfId="0" applyNumberFormat="1" applyFont="1" applyFill="1" applyBorder="1"/>
    <xf numFmtId="164" fontId="0" fillId="2" borderId="7" xfId="0" applyNumberFormat="1" applyFont="1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164" fontId="0" fillId="2" borderId="19" xfId="0" applyNumberFormat="1" applyFont="1" applyFill="1" applyBorder="1"/>
    <xf numFmtId="164" fontId="0" fillId="2" borderId="37" xfId="0" applyNumberFormat="1" applyFont="1" applyFill="1" applyBorder="1"/>
    <xf numFmtId="164" fontId="0" fillId="2" borderId="19" xfId="0" applyNumberFormat="1" applyFill="1" applyBorder="1"/>
    <xf numFmtId="0" fontId="0" fillId="0" borderId="24" xfId="0" applyFill="1" applyBorder="1"/>
    <xf numFmtId="0" fontId="2" fillId="0" borderId="0" xfId="0" applyFont="1" applyFill="1" applyBorder="1"/>
    <xf numFmtId="0" fontId="0" fillId="0" borderId="25" xfId="0" applyFill="1" applyBorder="1"/>
    <xf numFmtId="0" fontId="0" fillId="0" borderId="0" xfId="0" applyFill="1"/>
    <xf numFmtId="0" fontId="0" fillId="0" borderId="1" xfId="0" applyNumberFormat="1" applyBorder="1"/>
    <xf numFmtId="164" fontId="0" fillId="2" borderId="20" xfId="0" applyNumberFormat="1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121919</xdr:colOff>
      <xdr:row>1</xdr:row>
      <xdr:rowOff>137160</xdr:rowOff>
    </xdr:from>
    <xdr:to>
      <xdr:col>9</xdr:col>
      <xdr:colOff>1585382</xdr:colOff>
      <xdr:row>5</xdr:row>
      <xdr:rowOff>118956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9D23593-C0EA-49A0-8477-A1C80B89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599" y="327660"/>
          <a:ext cx="1463463" cy="766656"/>
        </a:xfrm>
        <a:prstGeom prst="rect">
          <a:avLst/>
        </a:prstGeom>
      </xdr:spPr>
    </xdr:pic>
    <xdr:clientData/>
  </xdr:twoCellAnchor>
  <xdr:twoCellAnchor editAs="oneCell">
    <xdr:from>
      <xdr:col>2</xdr:col>
      <xdr:colOff>640079</xdr:colOff>
      <xdr:row>74</xdr:row>
      <xdr:rowOff>106680</xdr:rowOff>
    </xdr:from>
    <xdr:to>
      <xdr:col>9</xdr:col>
      <xdr:colOff>593512</xdr:colOff>
      <xdr:row>96</xdr:row>
      <xdr:rowOff>30480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A10064D-E6DF-C8D8-FE26-36EA20EE2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59" y="14142720"/>
          <a:ext cx="7017173" cy="3947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2065020</xdr:colOff>
      <xdr:row>1</xdr:row>
      <xdr:rowOff>137159</xdr:rowOff>
    </xdr:from>
    <xdr:to>
      <xdr:col>10</xdr:col>
      <xdr:colOff>617643</xdr:colOff>
      <xdr:row>5</xdr:row>
      <xdr:rowOff>126575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22BFC7F-C354-452B-B378-8F401F95D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1940" y="327659"/>
          <a:ext cx="1463463" cy="766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limaentlaster.at/" TargetMode="External"/><Relationship Id="rId2" Type="http://schemas.openxmlformats.org/officeDocument/2006/relationships/hyperlink" Target="http://www.klimaentlaster.at/" TargetMode="External"/><Relationship Id="rId1" Type="http://schemas.openxmlformats.org/officeDocument/2006/relationships/hyperlink" Target="https://hepster.com/e-bike-versicheru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adverteiler.at/" TargetMode="External"/><Relationship Id="rId2" Type="http://schemas.openxmlformats.org/officeDocument/2006/relationships/hyperlink" Target="https://hepster.com/e-bike-versicherung" TargetMode="External"/><Relationship Id="rId1" Type="http://schemas.openxmlformats.org/officeDocument/2006/relationships/hyperlink" Target="https://www.radverteiler.at/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://www.klimaentlaster.at/" TargetMode="External"/><Relationship Id="rId4" Type="http://schemas.openxmlformats.org/officeDocument/2006/relationships/hyperlink" Target="mailto:info@klimaentlaster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3741-0CA0-46AD-AAB1-1911FC7F1439}">
  <dimension ref="B1:K131"/>
  <sheetViews>
    <sheetView topLeftCell="A111" workbookViewId="0">
      <selection activeCell="N63" sqref="N63"/>
    </sheetView>
  </sheetViews>
  <sheetFormatPr baseColWidth="10" defaultRowHeight="14.4" x14ac:dyDescent="0.3"/>
  <cols>
    <col min="1" max="1" width="2.6640625" customWidth="1"/>
    <col min="2" max="2" width="3.33203125" customWidth="1"/>
    <col min="3" max="3" width="37.21875" customWidth="1"/>
    <col min="4" max="4" width="11.109375" customWidth="1"/>
    <col min="5" max="5" width="11.44140625" customWidth="1"/>
    <col min="6" max="6" width="11" customWidth="1"/>
    <col min="7" max="7" width="11.109375" customWidth="1"/>
    <col min="8" max="8" width="10.6640625" customWidth="1"/>
    <col min="9" max="9" width="10.44140625" customWidth="1"/>
    <col min="10" max="10" width="23.5546875" customWidth="1"/>
    <col min="11" max="11" width="2.88671875" customWidth="1"/>
  </cols>
  <sheetData>
    <row r="1" spans="2:11" ht="15" thickBot="1" x14ac:dyDescent="0.35"/>
    <row r="2" spans="2:11" x14ac:dyDescent="0.3">
      <c r="B2" s="30"/>
      <c r="C2" s="45"/>
      <c r="D2" s="45"/>
      <c r="E2" s="45"/>
      <c r="F2" s="45"/>
      <c r="G2" s="45"/>
      <c r="H2" s="45"/>
      <c r="I2" s="45"/>
      <c r="J2" s="45"/>
      <c r="K2" s="31"/>
    </row>
    <row r="3" spans="2:11" s="2" customFormat="1" ht="18" x14ac:dyDescent="0.35">
      <c r="B3" s="46"/>
      <c r="C3" s="2" t="s">
        <v>90</v>
      </c>
      <c r="F3" s="43"/>
      <c r="G3" s="75"/>
      <c r="H3" s="76"/>
      <c r="I3" s="76" t="s">
        <v>35</v>
      </c>
      <c r="K3" s="47"/>
    </row>
    <row r="4" spans="2:11" x14ac:dyDescent="0.3">
      <c r="B4" s="39"/>
      <c r="C4" s="54" t="s">
        <v>54</v>
      </c>
      <c r="F4" s="36"/>
      <c r="G4" s="74"/>
      <c r="H4" s="74"/>
      <c r="I4" s="76" t="s">
        <v>91</v>
      </c>
      <c r="K4" s="37"/>
    </row>
    <row r="5" spans="2:11" ht="15" thickBot="1" x14ac:dyDescent="0.35">
      <c r="B5" s="39"/>
      <c r="C5" s="54"/>
      <c r="F5" s="36"/>
      <c r="G5" s="74"/>
      <c r="H5" s="74"/>
      <c r="I5" s="76"/>
      <c r="K5" s="37"/>
    </row>
    <row r="6" spans="2:11" ht="16.2" thickBot="1" x14ac:dyDescent="0.35">
      <c r="B6" s="39"/>
      <c r="C6" s="85" t="s">
        <v>99</v>
      </c>
      <c r="K6" s="37"/>
    </row>
    <row r="7" spans="2:11" s="1" customFormat="1" ht="15.6" x14ac:dyDescent="0.3">
      <c r="B7" s="48"/>
      <c r="C7" s="36" t="s">
        <v>30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96</v>
      </c>
      <c r="K7" s="38"/>
    </row>
    <row r="8" spans="2:11" s="1" customFormat="1" ht="16.2" thickBot="1" x14ac:dyDescent="0.35">
      <c r="B8" s="48"/>
      <c r="C8" s="3" t="s">
        <v>32</v>
      </c>
      <c r="D8" s="23"/>
      <c r="E8" s="5"/>
      <c r="F8" s="5"/>
      <c r="G8" s="5"/>
      <c r="H8" s="5"/>
      <c r="K8" s="38"/>
    </row>
    <row r="9" spans="2:11" ht="15" thickBot="1" x14ac:dyDescent="0.35">
      <c r="B9" s="39"/>
      <c r="C9" s="25" t="s">
        <v>43</v>
      </c>
      <c r="D9" s="27">
        <v>1</v>
      </c>
      <c r="E9" s="28">
        <v>0</v>
      </c>
      <c r="F9" s="29">
        <v>0</v>
      </c>
      <c r="G9" s="29">
        <v>0</v>
      </c>
      <c r="H9" s="29">
        <v>0</v>
      </c>
      <c r="K9" s="37"/>
    </row>
    <row r="10" spans="2:11" s="1" customFormat="1" ht="15.6" x14ac:dyDescent="0.3">
      <c r="B10" s="48"/>
      <c r="C10" s="3"/>
      <c r="D10" s="26"/>
      <c r="E10" s="5"/>
      <c r="F10" s="5"/>
      <c r="G10" s="5"/>
      <c r="H10" s="5"/>
      <c r="K10" s="38"/>
    </row>
    <row r="11" spans="2:11" s="1" customFormat="1" ht="15.6" x14ac:dyDescent="0.3">
      <c r="B11" s="48"/>
      <c r="C11" s="3" t="s">
        <v>31</v>
      </c>
      <c r="D11" s="5"/>
      <c r="E11" s="5"/>
      <c r="F11" s="5"/>
      <c r="G11" s="5"/>
      <c r="H11" s="5"/>
      <c r="K11" s="38"/>
    </row>
    <row r="12" spans="2:11" ht="15" thickBot="1" x14ac:dyDescent="0.35">
      <c r="B12" s="39"/>
      <c r="C12" s="25" t="s">
        <v>92</v>
      </c>
      <c r="D12" s="12">
        <v>6509</v>
      </c>
      <c r="E12" s="6"/>
      <c r="F12" s="6"/>
      <c r="G12" s="6"/>
      <c r="H12" s="6"/>
      <c r="K12" s="37"/>
    </row>
    <row r="13" spans="2:11" ht="15" thickBot="1" x14ac:dyDescent="0.35">
      <c r="B13" s="39"/>
      <c r="C13" s="8" t="s">
        <v>93</v>
      </c>
      <c r="D13" s="80">
        <v>0</v>
      </c>
      <c r="E13" s="79"/>
      <c r="F13" s="6"/>
      <c r="G13" s="6"/>
      <c r="H13" s="6"/>
      <c r="K13" s="37"/>
    </row>
    <row r="14" spans="2:11" x14ac:dyDescent="0.3">
      <c r="B14" s="39"/>
      <c r="C14" s="4" t="s">
        <v>34</v>
      </c>
      <c r="D14" s="9">
        <v>100</v>
      </c>
      <c r="E14" s="6"/>
      <c r="F14" s="6"/>
      <c r="G14" s="6"/>
      <c r="H14" s="6"/>
      <c r="K14" s="37"/>
    </row>
    <row r="15" spans="2:11" x14ac:dyDescent="0.3">
      <c r="B15" s="39"/>
      <c r="C15" s="4" t="s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K15" s="37"/>
    </row>
    <row r="16" spans="2:11" ht="15" thickBot="1" x14ac:dyDescent="0.35">
      <c r="B16" s="39"/>
      <c r="C16" s="4" t="s">
        <v>1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K16" s="37"/>
    </row>
    <row r="17" spans="2:11" ht="15" thickBot="1" x14ac:dyDescent="0.35">
      <c r="B17" s="39"/>
      <c r="C17" s="8"/>
      <c r="D17" s="10">
        <f>(D12-D13)*$D9+D15*$D9+D16*$D9+D14*$D9</f>
        <v>6609</v>
      </c>
      <c r="E17" s="10">
        <f>(E12-E13)*$D9+E15*$D9+E16*$D9+E14*E9</f>
        <v>0</v>
      </c>
      <c r="F17" s="10">
        <f>(F12-F13)*$D9+F15*$D9+F16*$D9+F14*F9</f>
        <v>0</v>
      </c>
      <c r="G17" s="10">
        <f>(G12-G13)*$D9+G15*$D9+G16*$D9+G14*G9</f>
        <v>0</v>
      </c>
      <c r="H17" s="10">
        <f>(H12-H13)*$D9+H15*$D9+H16*$D9+H14*H9</f>
        <v>0</v>
      </c>
      <c r="I17" s="72">
        <f>SUM(D17:H17)</f>
        <v>6609</v>
      </c>
      <c r="K17" s="37"/>
    </row>
    <row r="18" spans="2:11" ht="15.6" x14ac:dyDescent="0.3">
      <c r="B18" s="39"/>
      <c r="C18" s="3" t="s">
        <v>2</v>
      </c>
      <c r="D18" s="9"/>
      <c r="E18" s="6"/>
      <c r="F18" s="6"/>
      <c r="G18" s="6"/>
      <c r="H18" s="6"/>
      <c r="K18" s="37"/>
    </row>
    <row r="19" spans="2:11" x14ac:dyDescent="0.3">
      <c r="B19" s="39"/>
      <c r="C19" s="4" t="s">
        <v>33</v>
      </c>
      <c r="D19" s="9">
        <v>0</v>
      </c>
      <c r="E19" s="6"/>
      <c r="F19" s="6"/>
      <c r="G19" s="6"/>
      <c r="H19" s="6"/>
      <c r="K19" s="37"/>
    </row>
    <row r="20" spans="2:11" x14ac:dyDescent="0.3">
      <c r="B20" s="39"/>
      <c r="C20" s="4" t="s">
        <v>50</v>
      </c>
      <c r="D20" s="6">
        <v>200</v>
      </c>
      <c r="E20" s="6"/>
      <c r="F20" s="6"/>
      <c r="G20" s="6"/>
      <c r="H20" s="6"/>
      <c r="K20" s="37"/>
    </row>
    <row r="21" spans="2:11" x14ac:dyDescent="0.3">
      <c r="B21" s="39"/>
      <c r="C21" s="4" t="s">
        <v>3</v>
      </c>
      <c r="D21" s="6">
        <v>100</v>
      </c>
      <c r="E21" s="6"/>
      <c r="F21" s="6"/>
      <c r="G21" s="6">
        <v>100</v>
      </c>
      <c r="H21" s="6"/>
      <c r="K21" s="37"/>
    </row>
    <row r="22" spans="2:11" ht="15" thickBot="1" x14ac:dyDescent="0.35">
      <c r="B22" s="39"/>
      <c r="C22" s="4" t="s">
        <v>94</v>
      </c>
      <c r="D22" s="6">
        <v>150</v>
      </c>
      <c r="E22" s="6"/>
      <c r="F22" s="6"/>
      <c r="G22" s="6">
        <v>170</v>
      </c>
      <c r="H22" s="6"/>
      <c r="K22" s="37"/>
    </row>
    <row r="23" spans="2:11" ht="15" thickBot="1" x14ac:dyDescent="0.35">
      <c r="B23" s="39"/>
      <c r="C23" s="4"/>
      <c r="D23" s="10">
        <f>D22*$D9+D21*$D9+D20+D19</f>
        <v>450</v>
      </c>
      <c r="E23" s="10">
        <f t="shared" ref="E23:H23" si="0">E22*$D9+E21*$D9+E20+E19</f>
        <v>0</v>
      </c>
      <c r="F23" s="10">
        <f t="shared" si="0"/>
        <v>0</v>
      </c>
      <c r="G23" s="10">
        <f t="shared" si="0"/>
        <v>270</v>
      </c>
      <c r="H23" s="10">
        <f t="shared" si="0"/>
        <v>0</v>
      </c>
      <c r="I23" s="72">
        <f>SUM(D23:H23)</f>
        <v>720</v>
      </c>
      <c r="K23" s="37"/>
    </row>
    <row r="24" spans="2:11" s="1" customFormat="1" ht="15.6" x14ac:dyDescent="0.3">
      <c r="B24" s="48"/>
      <c r="C24" s="3" t="s">
        <v>49</v>
      </c>
      <c r="D24" s="5"/>
      <c r="E24" s="5"/>
      <c r="F24" s="5"/>
      <c r="G24" s="5"/>
      <c r="H24" s="5"/>
      <c r="K24" s="38"/>
    </row>
    <row r="25" spans="2:11" x14ac:dyDescent="0.3">
      <c r="B25" s="39"/>
      <c r="C25" s="4" t="s">
        <v>4</v>
      </c>
      <c r="D25" s="6">
        <v>0</v>
      </c>
      <c r="E25" s="6"/>
      <c r="F25" s="6"/>
      <c r="G25" s="6"/>
      <c r="H25" s="6"/>
      <c r="K25" s="37"/>
    </row>
    <row r="26" spans="2:11" x14ac:dyDescent="0.3">
      <c r="B26" s="39"/>
      <c r="C26" s="4" t="s">
        <v>5</v>
      </c>
      <c r="D26" s="6">
        <v>0</v>
      </c>
      <c r="E26" s="6"/>
      <c r="F26" s="6"/>
      <c r="G26" s="6"/>
      <c r="H26" s="6"/>
      <c r="K26" s="37"/>
    </row>
    <row r="27" spans="2:11" x14ac:dyDescent="0.3">
      <c r="B27" s="39"/>
      <c r="C27" s="4" t="s">
        <v>6</v>
      </c>
      <c r="D27" s="6">
        <v>0</v>
      </c>
      <c r="E27" s="6"/>
      <c r="F27" s="6"/>
      <c r="G27" s="6"/>
      <c r="H27" s="6"/>
      <c r="K27" s="37"/>
    </row>
    <row r="28" spans="2:11" x14ac:dyDescent="0.3">
      <c r="B28" s="39"/>
      <c r="C28" s="4" t="s">
        <v>7</v>
      </c>
      <c r="D28" s="6">
        <v>0</v>
      </c>
      <c r="E28" s="6"/>
      <c r="F28" s="6"/>
      <c r="G28" s="6"/>
      <c r="H28" s="6"/>
      <c r="K28" s="37"/>
    </row>
    <row r="29" spans="2:11" x14ac:dyDescent="0.3">
      <c r="B29" s="39"/>
      <c r="C29" s="4" t="s">
        <v>22</v>
      </c>
      <c r="D29" s="6">
        <v>120</v>
      </c>
      <c r="E29" s="6"/>
      <c r="F29" s="6"/>
      <c r="G29" s="6">
        <v>120</v>
      </c>
      <c r="H29" s="6"/>
      <c r="K29" s="37"/>
    </row>
    <row r="30" spans="2:11" x14ac:dyDescent="0.3">
      <c r="B30" s="39"/>
      <c r="C30" s="4" t="s">
        <v>8</v>
      </c>
      <c r="D30" s="6">
        <v>0</v>
      </c>
      <c r="E30" s="6"/>
      <c r="F30" s="6"/>
      <c r="G30" s="6"/>
      <c r="H30" s="6"/>
      <c r="K30" s="37"/>
    </row>
    <row r="31" spans="2:11" x14ac:dyDescent="0.3">
      <c r="B31" s="39"/>
      <c r="C31" s="4" t="s">
        <v>95</v>
      </c>
      <c r="D31" s="6">
        <v>3000</v>
      </c>
      <c r="E31" s="6">
        <v>70</v>
      </c>
      <c r="F31" s="6">
        <v>70</v>
      </c>
      <c r="G31" s="6">
        <v>70</v>
      </c>
      <c r="H31" s="6">
        <v>70</v>
      </c>
      <c r="K31" s="37"/>
    </row>
    <row r="32" spans="2:11" ht="15" thickBot="1" x14ac:dyDescent="0.35">
      <c r="B32" s="39"/>
      <c r="C32" s="4" t="s">
        <v>9</v>
      </c>
      <c r="D32" s="6">
        <v>0</v>
      </c>
      <c r="E32" s="6"/>
      <c r="F32" s="6"/>
      <c r="G32" s="6"/>
      <c r="H32" s="6"/>
      <c r="K32" s="37"/>
    </row>
    <row r="33" spans="2:11" ht="15" thickBot="1" x14ac:dyDescent="0.35">
      <c r="B33" s="39"/>
      <c r="C33" s="4"/>
      <c r="D33" s="10">
        <f>D29*$D9+D31*$D9+D30*$D9+D32*$D9</f>
        <v>3120</v>
      </c>
      <c r="E33" s="10">
        <f t="shared" ref="E33:H33" si="1">E29*$D9+E31*$D9+E30*$D9+E32*$D9</f>
        <v>70</v>
      </c>
      <c r="F33" s="10">
        <f t="shared" si="1"/>
        <v>70</v>
      </c>
      <c r="G33" s="10">
        <f t="shared" si="1"/>
        <v>190</v>
      </c>
      <c r="H33" s="10">
        <f t="shared" si="1"/>
        <v>70</v>
      </c>
      <c r="I33" s="72">
        <f>SUM(D33:H33)</f>
        <v>3520</v>
      </c>
      <c r="K33" s="37"/>
    </row>
    <row r="34" spans="2:11" s="1" customFormat="1" ht="15.6" x14ac:dyDescent="0.3">
      <c r="B34" s="48"/>
      <c r="C34" s="3" t="s">
        <v>48</v>
      </c>
      <c r="D34" s="5"/>
      <c r="E34" s="5"/>
      <c r="F34" s="5"/>
      <c r="G34" s="5"/>
      <c r="H34" s="5"/>
      <c r="K34" s="38"/>
    </row>
    <row r="35" spans="2:11" x14ac:dyDescent="0.3">
      <c r="B35" s="39"/>
      <c r="C35" s="4" t="s">
        <v>10</v>
      </c>
      <c r="D35" s="6">
        <v>0</v>
      </c>
      <c r="E35" s="6"/>
      <c r="F35" s="6"/>
      <c r="G35" s="6"/>
      <c r="H35" s="6"/>
      <c r="K35" s="37"/>
    </row>
    <row r="36" spans="2:11" x14ac:dyDescent="0.3">
      <c r="B36" s="39"/>
      <c r="C36" s="4" t="s">
        <v>38</v>
      </c>
      <c r="D36" s="6">
        <v>200</v>
      </c>
      <c r="E36" s="6">
        <v>200</v>
      </c>
      <c r="F36" s="6">
        <v>200</v>
      </c>
      <c r="G36" s="6">
        <v>200</v>
      </c>
      <c r="H36" s="6">
        <v>200</v>
      </c>
      <c r="K36" s="37"/>
    </row>
    <row r="37" spans="2:11" x14ac:dyDescent="0.3">
      <c r="B37" s="39"/>
      <c r="C37" s="4" t="s">
        <v>11</v>
      </c>
      <c r="D37" s="6">
        <v>0</v>
      </c>
      <c r="E37" s="6"/>
      <c r="F37" s="6"/>
      <c r="G37" s="6"/>
      <c r="H37" s="6"/>
      <c r="K37" s="37"/>
    </row>
    <row r="38" spans="2:11" x14ac:dyDescent="0.3">
      <c r="B38" s="39"/>
      <c r="C38" s="4" t="s">
        <v>12</v>
      </c>
      <c r="D38" s="6">
        <v>50</v>
      </c>
      <c r="E38" s="6">
        <f>D38*2</f>
        <v>100</v>
      </c>
      <c r="F38" s="6">
        <f>E38*2</f>
        <v>200</v>
      </c>
      <c r="G38" s="6">
        <f>F38</f>
        <v>200</v>
      </c>
      <c r="H38" s="6">
        <f>F38</f>
        <v>200</v>
      </c>
      <c r="K38" s="37"/>
    </row>
    <row r="39" spans="2:11" x14ac:dyDescent="0.3">
      <c r="B39" s="39"/>
      <c r="C39" s="4" t="s">
        <v>97</v>
      </c>
      <c r="D39" s="6">
        <v>120</v>
      </c>
      <c r="E39" s="6">
        <v>130</v>
      </c>
      <c r="F39" s="6">
        <v>140</v>
      </c>
      <c r="G39" s="6">
        <v>150</v>
      </c>
      <c r="H39" s="6">
        <v>160</v>
      </c>
      <c r="K39" s="37"/>
    </row>
    <row r="40" spans="2:11" x14ac:dyDescent="0.3">
      <c r="B40" s="39"/>
      <c r="C40" s="7" t="s">
        <v>13</v>
      </c>
      <c r="D40" s="6">
        <f>D12*0.04</f>
        <v>260.36</v>
      </c>
      <c r="E40" s="6">
        <f>D40*1.1</f>
        <v>286.39600000000002</v>
      </c>
      <c r="F40" s="6">
        <f>E40*1.1</f>
        <v>315.03560000000004</v>
      </c>
      <c r="G40" s="6">
        <f t="shared" ref="G40:H40" si="2">F40*1.1</f>
        <v>346.53916000000009</v>
      </c>
      <c r="H40" s="6">
        <f t="shared" si="2"/>
        <v>381.19307600000013</v>
      </c>
      <c r="K40" s="37"/>
    </row>
    <row r="41" spans="2:11" ht="15" thickBot="1" x14ac:dyDescent="0.35">
      <c r="B41" s="39"/>
      <c r="C41" s="4" t="s">
        <v>14</v>
      </c>
      <c r="D41" s="6">
        <v>50</v>
      </c>
      <c r="E41" s="6">
        <v>100</v>
      </c>
      <c r="F41" s="6">
        <v>150</v>
      </c>
      <c r="G41" s="6">
        <f>F41</f>
        <v>150</v>
      </c>
      <c r="H41" s="6">
        <f>F41</f>
        <v>150</v>
      </c>
      <c r="K41" s="37"/>
    </row>
    <row r="42" spans="2:11" ht="15" thickBot="1" x14ac:dyDescent="0.35">
      <c r="B42" s="39"/>
      <c r="C42" s="4"/>
      <c r="D42" s="10">
        <f>(D38+D39+D40+D41)*$D9+D35+D36+D37</f>
        <v>680.36</v>
      </c>
      <c r="E42" s="10">
        <f t="shared" ref="E42:H42" si="3">(E38+E39+E40+E41)*$D9+E35+E36+E37</f>
        <v>816.39599999999996</v>
      </c>
      <c r="F42" s="10">
        <f t="shared" si="3"/>
        <v>1005.0356</v>
      </c>
      <c r="G42" s="10">
        <f t="shared" si="3"/>
        <v>1046.53916</v>
      </c>
      <c r="H42" s="10">
        <f t="shared" si="3"/>
        <v>1091.193076</v>
      </c>
      <c r="I42" s="72">
        <f>SUM(D42:H42)</f>
        <v>4639.5238360000003</v>
      </c>
      <c r="K42" s="37"/>
    </row>
    <row r="43" spans="2:11" s="1" customFormat="1" ht="15.6" x14ac:dyDescent="0.3">
      <c r="B43" s="48"/>
      <c r="C43" s="3" t="s">
        <v>52</v>
      </c>
      <c r="D43" s="5"/>
      <c r="E43" s="5"/>
      <c r="F43" s="5"/>
      <c r="G43" s="5"/>
      <c r="H43" s="5"/>
      <c r="K43" s="38"/>
    </row>
    <row r="44" spans="2:11" x14ac:dyDescent="0.3">
      <c r="B44" s="39"/>
      <c r="C44" s="4" t="s">
        <v>15</v>
      </c>
      <c r="D44" s="6">
        <v>0</v>
      </c>
      <c r="E44" s="6">
        <f>D44</f>
        <v>0</v>
      </c>
      <c r="F44" s="6">
        <f>E44</f>
        <v>0</v>
      </c>
      <c r="G44" s="6">
        <f>F44</f>
        <v>0</v>
      </c>
      <c r="H44" s="6">
        <f>G44</f>
        <v>0</v>
      </c>
      <c r="K44" s="37"/>
    </row>
    <row r="45" spans="2:11" x14ac:dyDescent="0.3">
      <c r="B45" s="39"/>
      <c r="C45" s="4" t="s">
        <v>16</v>
      </c>
      <c r="D45" s="6">
        <v>300</v>
      </c>
      <c r="E45" s="6"/>
      <c r="F45" s="6"/>
      <c r="G45" s="6"/>
      <c r="H45" s="6"/>
      <c r="K45" s="37"/>
    </row>
    <row r="46" spans="2:11" ht="15" thickBot="1" x14ac:dyDescent="0.35">
      <c r="B46" s="39"/>
      <c r="C46" s="4" t="s">
        <v>98</v>
      </c>
      <c r="D46" s="6">
        <v>0</v>
      </c>
      <c r="E46" s="6"/>
      <c r="F46" s="6"/>
      <c r="G46" s="6"/>
      <c r="H46" s="6"/>
      <c r="K46" s="37"/>
    </row>
    <row r="47" spans="2:11" ht="15" thickBot="1" x14ac:dyDescent="0.35">
      <c r="B47" s="39"/>
      <c r="C47" s="4"/>
      <c r="D47" s="10">
        <f>SUM(D44:D46)</f>
        <v>300</v>
      </c>
      <c r="E47" s="10">
        <f t="shared" ref="E47:H47" si="4">SUM(E44:E46)</f>
        <v>0</v>
      </c>
      <c r="F47" s="10">
        <f t="shared" si="4"/>
        <v>0</v>
      </c>
      <c r="G47" s="10">
        <f t="shared" si="4"/>
        <v>0</v>
      </c>
      <c r="H47" s="10">
        <f t="shared" si="4"/>
        <v>0</v>
      </c>
      <c r="I47" s="72">
        <f>SUM(D47:H47)</f>
        <v>300</v>
      </c>
      <c r="K47" s="37"/>
    </row>
    <row r="48" spans="2:11" ht="15" thickBot="1" x14ac:dyDescent="0.35">
      <c r="B48" s="39"/>
      <c r="C48" s="11"/>
      <c r="D48" s="51"/>
      <c r="E48" s="51"/>
      <c r="F48" s="51"/>
      <c r="G48" s="51"/>
      <c r="H48" s="51"/>
      <c r="K48" s="37"/>
    </row>
    <row r="49" spans="2:11" ht="16.2" thickBot="1" x14ac:dyDescent="0.35">
      <c r="B49" s="39"/>
      <c r="C49" s="57" t="s">
        <v>44</v>
      </c>
      <c r="D49" s="58">
        <f>(D47+D42+D33+D23+D17)*-1</f>
        <v>-11159.36</v>
      </c>
      <c r="E49" s="58">
        <f>(E47+E42+E33+E23+E17)*-1</f>
        <v>-886.39599999999996</v>
      </c>
      <c r="F49" s="58">
        <f>(F47+F42+F33+F23+F17)*-1</f>
        <v>-1075.0356000000002</v>
      </c>
      <c r="G49" s="58">
        <f>(G47+G42+G33+G23+G17)*-1</f>
        <v>-1506.53916</v>
      </c>
      <c r="H49" s="59">
        <f>(H47+H42+H33+H23+H17)*-1</f>
        <v>-1161.193076</v>
      </c>
      <c r="I49" s="72">
        <f>SUM(D49:H49)</f>
        <v>-15788.523836</v>
      </c>
      <c r="K49" s="37"/>
    </row>
    <row r="50" spans="2:11" x14ac:dyDescent="0.3">
      <c r="B50" s="39"/>
      <c r="C50" s="56"/>
      <c r="D50" s="9"/>
      <c r="E50" s="9"/>
      <c r="F50" s="9"/>
      <c r="G50" s="9"/>
      <c r="H50" s="9"/>
      <c r="K50" s="37"/>
    </row>
    <row r="51" spans="2:11" s="1" customFormat="1" ht="15.6" x14ac:dyDescent="0.3">
      <c r="B51" s="48"/>
      <c r="C51" s="3" t="s">
        <v>100</v>
      </c>
      <c r="D51" s="5"/>
      <c r="E51" s="5"/>
      <c r="F51" s="5"/>
      <c r="G51" s="5"/>
      <c r="H51" s="5"/>
      <c r="K51" s="38"/>
    </row>
    <row r="52" spans="2:11" x14ac:dyDescent="0.3">
      <c r="B52" s="39"/>
      <c r="C52" s="22" t="s">
        <v>42</v>
      </c>
      <c r="D52" s="52">
        <v>11200</v>
      </c>
      <c r="E52" s="53">
        <v>900</v>
      </c>
      <c r="F52" s="53">
        <v>1100</v>
      </c>
      <c r="G52" s="53">
        <v>1500</v>
      </c>
      <c r="H52" s="53">
        <v>300</v>
      </c>
      <c r="K52" s="37"/>
    </row>
    <row r="53" spans="2:11" x14ac:dyDescent="0.3">
      <c r="B53" s="39"/>
      <c r="C53" s="4" t="s">
        <v>51</v>
      </c>
      <c r="D53" s="34">
        <f>$D67</f>
        <v>0</v>
      </c>
      <c r="E53" s="34">
        <f t="shared" ref="E53:H53" si="5">$D67</f>
        <v>0</v>
      </c>
      <c r="F53" s="34">
        <f t="shared" si="5"/>
        <v>0</v>
      </c>
      <c r="G53" s="34">
        <f t="shared" si="5"/>
        <v>0</v>
      </c>
      <c r="H53" s="34">
        <f t="shared" si="5"/>
        <v>0</v>
      </c>
      <c r="K53" s="37"/>
    </row>
    <row r="54" spans="2:11" x14ac:dyDescent="0.3">
      <c r="B54" s="39"/>
      <c r="C54" s="4" t="s">
        <v>29</v>
      </c>
      <c r="D54" s="6">
        <v>0</v>
      </c>
      <c r="E54" s="6">
        <v>0</v>
      </c>
      <c r="F54" s="6">
        <v>0</v>
      </c>
      <c r="G54" s="6">
        <v>0</v>
      </c>
      <c r="H54" s="6">
        <v>800</v>
      </c>
      <c r="K54" s="37"/>
    </row>
    <row r="55" spans="2:11" ht="15" thickBot="1" x14ac:dyDescent="0.35">
      <c r="B55" s="39"/>
      <c r="C55" s="11"/>
      <c r="D55" s="12"/>
      <c r="E55" s="12"/>
      <c r="F55" s="12"/>
      <c r="G55" s="12"/>
      <c r="H55" s="12"/>
      <c r="K55" s="37"/>
    </row>
    <row r="56" spans="2:11" ht="16.2" thickBot="1" x14ac:dyDescent="0.35">
      <c r="B56" s="39"/>
      <c r="C56" s="60" t="s">
        <v>45</v>
      </c>
      <c r="D56" s="62">
        <f>SUM(D52:D53)+D54*$D9</f>
        <v>11200</v>
      </c>
      <c r="E56" s="62">
        <f>SUM(E52:E53)+E54*$D9</f>
        <v>900</v>
      </c>
      <c r="F56" s="62">
        <f>SUM(F52:F53)+F54*$D9</f>
        <v>1100</v>
      </c>
      <c r="G56" s="62">
        <f>SUM(G52:G53)+G54*$D9</f>
        <v>1500</v>
      </c>
      <c r="H56" s="63">
        <f>SUM(H52:H53)+H54*$D9</f>
        <v>1100</v>
      </c>
      <c r="I56" s="72">
        <f>SUM(D56:H56)</f>
        <v>15800</v>
      </c>
      <c r="K56" s="37"/>
    </row>
    <row r="57" spans="2:11" ht="15" thickBot="1" x14ac:dyDescent="0.35">
      <c r="B57" s="39"/>
      <c r="C57" s="61"/>
      <c r="D57" s="51"/>
      <c r="E57" s="51"/>
      <c r="F57" s="51"/>
      <c r="G57" s="51"/>
      <c r="H57" s="51"/>
      <c r="K57" s="37"/>
    </row>
    <row r="58" spans="2:11" ht="16.2" thickBot="1" x14ac:dyDescent="0.35">
      <c r="B58" s="39"/>
      <c r="C58" s="60" t="s">
        <v>47</v>
      </c>
      <c r="D58" s="64">
        <f>D49+D56</f>
        <v>40.639999999999418</v>
      </c>
      <c r="E58" s="64">
        <f>E49+E56</f>
        <v>13.604000000000042</v>
      </c>
      <c r="F58" s="64">
        <f>F49+F56</f>
        <v>24.964399999999841</v>
      </c>
      <c r="G58" s="64">
        <f>G49+G56</f>
        <v>-6.5391600000000381</v>
      </c>
      <c r="H58" s="65">
        <f>H49+H56</f>
        <v>-61.193076000000019</v>
      </c>
      <c r="I58" s="73">
        <f>SUM(D58:H58)</f>
        <v>11.476163999999244</v>
      </c>
      <c r="K58" s="37"/>
    </row>
    <row r="59" spans="2:11" x14ac:dyDescent="0.3">
      <c r="B59" s="39"/>
      <c r="K59" s="37"/>
    </row>
    <row r="60" spans="2:11" ht="15" thickBot="1" x14ac:dyDescent="0.35">
      <c r="B60" s="39"/>
      <c r="K60" s="37"/>
    </row>
    <row r="61" spans="2:11" ht="15.6" x14ac:dyDescent="0.3">
      <c r="B61" s="39"/>
      <c r="C61" s="16" t="s">
        <v>24</v>
      </c>
      <c r="D61" s="13"/>
      <c r="F61" s="81" t="s">
        <v>40</v>
      </c>
      <c r="G61" s="82"/>
      <c r="H61" s="83"/>
      <c r="K61" s="37"/>
    </row>
    <row r="62" spans="2:11" x14ac:dyDescent="0.3">
      <c r="B62" s="39"/>
      <c r="C62" s="14" t="s">
        <v>25</v>
      </c>
      <c r="D62" s="17">
        <v>2</v>
      </c>
      <c r="F62" s="69">
        <f>D52</f>
        <v>11200</v>
      </c>
      <c r="G62" s="68" t="s">
        <v>46</v>
      </c>
      <c r="H62" s="70"/>
      <c r="K62" s="37"/>
    </row>
    <row r="63" spans="2:11" x14ac:dyDescent="0.3">
      <c r="B63" s="39"/>
      <c r="C63" s="14" t="s">
        <v>26</v>
      </c>
      <c r="D63" s="20">
        <v>18</v>
      </c>
      <c r="F63" s="71">
        <f>E52+F52+G52+H52</f>
        <v>3800</v>
      </c>
      <c r="G63" s="66" t="s">
        <v>39</v>
      </c>
      <c r="H63" s="67"/>
      <c r="K63" s="37"/>
    </row>
    <row r="64" spans="2:11" ht="15" thickBot="1" x14ac:dyDescent="0.35">
      <c r="B64" s="39"/>
      <c r="C64" s="19" t="s">
        <v>28</v>
      </c>
      <c r="D64" s="21">
        <v>25</v>
      </c>
      <c r="F64" s="32">
        <f>F63+F62-I58</f>
        <v>14988.523836</v>
      </c>
      <c r="G64" s="55" t="s">
        <v>23</v>
      </c>
      <c r="H64" s="33"/>
      <c r="K64" s="37"/>
    </row>
    <row r="65" spans="2:11" x14ac:dyDescent="0.3">
      <c r="B65" s="39"/>
      <c r="C65" s="19" t="s">
        <v>36</v>
      </c>
      <c r="D65" s="24" t="s">
        <v>37</v>
      </c>
      <c r="K65" s="37"/>
    </row>
    <row r="66" spans="2:11" ht="15" thickBot="1" x14ac:dyDescent="0.35">
      <c r="B66" s="39"/>
      <c r="C66" s="15" t="s">
        <v>27</v>
      </c>
      <c r="D66" s="18">
        <f>D62*$D9*D64*D63</f>
        <v>900</v>
      </c>
      <c r="J66" s="50" t="s">
        <v>41</v>
      </c>
      <c r="K66" s="37"/>
    </row>
    <row r="67" spans="2:11" ht="15" thickBot="1" x14ac:dyDescent="0.35">
      <c r="B67" s="39"/>
      <c r="C67" s="44"/>
      <c r="D67" s="35">
        <v>0</v>
      </c>
      <c r="J67" s="49" t="s">
        <v>101</v>
      </c>
      <c r="K67" s="37"/>
    </row>
    <row r="68" spans="2:11" ht="15" thickBot="1" x14ac:dyDescent="0.35">
      <c r="B68" s="40"/>
      <c r="C68" s="41"/>
      <c r="D68" s="41"/>
      <c r="E68" s="41"/>
      <c r="F68" s="41"/>
      <c r="G68" s="41"/>
      <c r="H68" s="41"/>
      <c r="I68" s="41"/>
      <c r="J68" s="41"/>
      <c r="K68" s="42"/>
    </row>
    <row r="69" spans="2:11" ht="15" thickBot="1" x14ac:dyDescent="0.35"/>
    <row r="70" spans="2:11" ht="15" thickBot="1" x14ac:dyDescent="0.35">
      <c r="B70" s="30"/>
      <c r="C70" s="45"/>
      <c r="D70" s="45"/>
      <c r="E70" s="45"/>
      <c r="F70" s="45"/>
      <c r="G70" s="45"/>
      <c r="H70" s="45"/>
      <c r="I70" s="45"/>
      <c r="J70" s="45"/>
      <c r="K70" s="31"/>
    </row>
    <row r="71" spans="2:11" ht="16.2" thickBot="1" x14ac:dyDescent="0.35">
      <c r="B71" s="39"/>
      <c r="C71" s="85" t="s">
        <v>107</v>
      </c>
      <c r="D71" s="95"/>
      <c r="E71" s="95"/>
      <c r="F71" s="95"/>
      <c r="G71" s="95"/>
      <c r="H71" s="95"/>
      <c r="I71" s="95"/>
      <c r="J71" s="95"/>
      <c r="K71" s="37"/>
    </row>
    <row r="72" spans="2:11" x14ac:dyDescent="0.3">
      <c r="B72" s="39"/>
      <c r="C72" s="95" t="s">
        <v>108</v>
      </c>
      <c r="D72" s="95"/>
      <c r="E72" s="95"/>
      <c r="F72" s="95"/>
      <c r="G72" s="95"/>
      <c r="H72" s="95"/>
      <c r="I72" s="95"/>
      <c r="J72" s="95"/>
      <c r="K72" s="37"/>
    </row>
    <row r="73" spans="2:11" x14ac:dyDescent="0.3">
      <c r="B73" s="39"/>
      <c r="C73" s="95" t="s">
        <v>118</v>
      </c>
      <c r="D73" s="95"/>
      <c r="E73" s="95"/>
      <c r="F73" s="95"/>
      <c r="G73" s="95"/>
      <c r="H73" s="95"/>
      <c r="I73" s="95"/>
      <c r="J73" s="95"/>
      <c r="K73" s="37"/>
    </row>
    <row r="74" spans="2:11" x14ac:dyDescent="0.3">
      <c r="B74" s="39"/>
      <c r="C74" s="95" t="s">
        <v>109</v>
      </c>
      <c r="D74" s="95"/>
      <c r="E74" s="95"/>
      <c r="F74" s="95"/>
      <c r="G74" s="95"/>
      <c r="H74" s="95"/>
      <c r="I74" s="95"/>
      <c r="J74" s="95"/>
      <c r="K74" s="37"/>
    </row>
    <row r="75" spans="2:11" x14ac:dyDescent="0.3">
      <c r="B75" s="39"/>
      <c r="C75" s="95"/>
      <c r="D75" s="95"/>
      <c r="E75" s="95"/>
      <c r="F75" s="95"/>
      <c r="G75" s="95"/>
      <c r="H75" s="95"/>
      <c r="I75" s="95"/>
      <c r="J75" s="95"/>
      <c r="K75" s="37"/>
    </row>
    <row r="76" spans="2:11" x14ac:dyDescent="0.3">
      <c r="B76" s="39"/>
      <c r="C76" s="95"/>
      <c r="D76" s="95"/>
      <c r="E76" s="95"/>
      <c r="F76" s="95"/>
      <c r="G76" s="95"/>
      <c r="H76" s="95"/>
      <c r="I76" s="95"/>
      <c r="J76" s="95"/>
      <c r="K76" s="37"/>
    </row>
    <row r="77" spans="2:11" x14ac:dyDescent="0.3">
      <c r="B77" s="39"/>
      <c r="C77" s="95"/>
      <c r="D77" s="95"/>
      <c r="E77" s="95"/>
      <c r="F77" s="95"/>
      <c r="G77" s="95"/>
      <c r="H77" s="95"/>
      <c r="I77" s="95"/>
      <c r="J77" s="95"/>
      <c r="K77" s="37"/>
    </row>
    <row r="78" spans="2:11" x14ac:dyDescent="0.3">
      <c r="B78" s="39"/>
      <c r="C78" s="95"/>
      <c r="D78" s="95"/>
      <c r="E78" s="95"/>
      <c r="F78" s="95"/>
      <c r="G78" s="95"/>
      <c r="H78" s="95"/>
      <c r="I78" s="95"/>
      <c r="J78" s="95"/>
      <c r="K78" s="37"/>
    </row>
    <row r="79" spans="2:11" x14ac:dyDescent="0.3">
      <c r="B79" s="39"/>
      <c r="C79" s="95"/>
      <c r="D79" s="95"/>
      <c r="E79" s="95"/>
      <c r="F79" s="95"/>
      <c r="G79" s="95"/>
      <c r="H79" s="95"/>
      <c r="I79" s="95"/>
      <c r="J79" s="95"/>
      <c r="K79" s="37"/>
    </row>
    <row r="80" spans="2:11" x14ac:dyDescent="0.3">
      <c r="B80" s="39"/>
      <c r="C80" s="95"/>
      <c r="D80" s="95"/>
      <c r="E80" s="95"/>
      <c r="F80" s="95"/>
      <c r="G80" s="95"/>
      <c r="H80" s="95"/>
      <c r="I80" s="95"/>
      <c r="J80" s="95"/>
      <c r="K80" s="37"/>
    </row>
    <row r="81" spans="2:11" x14ac:dyDescent="0.3">
      <c r="B81" s="39"/>
      <c r="C81" s="95"/>
      <c r="D81" s="95"/>
      <c r="E81" s="95"/>
      <c r="F81" s="95"/>
      <c r="G81" s="95"/>
      <c r="H81" s="95"/>
      <c r="I81" s="95"/>
      <c r="J81" s="95"/>
      <c r="K81" s="37"/>
    </row>
    <row r="82" spans="2:11" x14ac:dyDescent="0.3">
      <c r="B82" s="39"/>
      <c r="C82" s="95"/>
      <c r="D82" s="95"/>
      <c r="E82" s="95"/>
      <c r="F82" s="95"/>
      <c r="G82" s="95"/>
      <c r="H82" s="95"/>
      <c r="I82" s="95"/>
      <c r="J82" s="95"/>
      <c r="K82" s="37"/>
    </row>
    <row r="83" spans="2:11" x14ac:dyDescent="0.3">
      <c r="B83" s="39"/>
      <c r="C83" s="95"/>
      <c r="D83" s="95"/>
      <c r="E83" s="95"/>
      <c r="F83" s="95"/>
      <c r="G83" s="95"/>
      <c r="H83" s="95"/>
      <c r="I83" s="95"/>
      <c r="J83" s="95"/>
      <c r="K83" s="37"/>
    </row>
    <row r="84" spans="2:11" x14ac:dyDescent="0.3">
      <c r="B84" s="39"/>
      <c r="C84" s="95"/>
      <c r="D84" s="95"/>
      <c r="E84" s="95"/>
      <c r="F84" s="95"/>
      <c r="G84" s="95"/>
      <c r="H84" s="95"/>
      <c r="I84" s="95"/>
      <c r="J84" s="95"/>
      <c r="K84" s="37"/>
    </row>
    <row r="85" spans="2:11" x14ac:dyDescent="0.3">
      <c r="B85" s="39"/>
      <c r="C85" s="95"/>
      <c r="D85" s="95"/>
      <c r="E85" s="95"/>
      <c r="F85" s="95"/>
      <c r="G85" s="95"/>
      <c r="H85" s="95"/>
      <c r="I85" s="95"/>
      <c r="J85" s="95"/>
      <c r="K85" s="37"/>
    </row>
    <row r="86" spans="2:11" x14ac:dyDescent="0.3">
      <c r="B86" s="39"/>
      <c r="C86" s="95"/>
      <c r="D86" s="95"/>
      <c r="E86" s="95"/>
      <c r="F86" s="95"/>
      <c r="G86" s="95"/>
      <c r="H86" s="95"/>
      <c r="I86" s="95"/>
      <c r="J86" s="95"/>
      <c r="K86" s="37"/>
    </row>
    <row r="87" spans="2:11" x14ac:dyDescent="0.3">
      <c r="B87" s="39"/>
      <c r="C87" s="95"/>
      <c r="D87" s="95"/>
      <c r="E87" s="95"/>
      <c r="F87" s="95"/>
      <c r="G87" s="95"/>
      <c r="H87" s="95"/>
      <c r="I87" s="95"/>
      <c r="J87" s="95"/>
      <c r="K87" s="37"/>
    </row>
    <row r="88" spans="2:11" x14ac:dyDescent="0.3">
      <c r="B88" s="39"/>
      <c r="C88" s="95"/>
      <c r="D88" s="95"/>
      <c r="E88" s="95"/>
      <c r="F88" s="95"/>
      <c r="G88" s="95"/>
      <c r="H88" s="95"/>
      <c r="I88" s="95"/>
      <c r="J88" s="95"/>
      <c r="K88" s="37"/>
    </row>
    <row r="89" spans="2:11" x14ac:dyDescent="0.3">
      <c r="B89" s="39"/>
      <c r="C89" s="95"/>
      <c r="D89" s="95"/>
      <c r="E89" s="95"/>
      <c r="F89" s="95"/>
      <c r="G89" s="95"/>
      <c r="H89" s="95"/>
      <c r="I89" s="95"/>
      <c r="J89" s="95"/>
      <c r="K89" s="37"/>
    </row>
    <row r="90" spans="2:11" x14ac:dyDescent="0.3">
      <c r="B90" s="39"/>
      <c r="C90" s="95"/>
      <c r="D90" s="95"/>
      <c r="E90" s="95"/>
      <c r="F90" s="95"/>
      <c r="G90" s="95"/>
      <c r="H90" s="95"/>
      <c r="I90" s="95"/>
      <c r="J90" s="95"/>
      <c r="K90" s="37"/>
    </row>
    <row r="91" spans="2:11" x14ac:dyDescent="0.3">
      <c r="B91" s="39"/>
      <c r="C91" s="95"/>
      <c r="D91" s="95"/>
      <c r="E91" s="95"/>
      <c r="F91" s="95"/>
      <c r="G91" s="95"/>
      <c r="H91" s="95"/>
      <c r="I91" s="95"/>
      <c r="J91" s="95"/>
      <c r="K91" s="37"/>
    </row>
    <row r="92" spans="2:11" x14ac:dyDescent="0.3">
      <c r="B92" s="39"/>
      <c r="C92" s="95"/>
      <c r="D92" s="95"/>
      <c r="E92" s="95"/>
      <c r="F92" s="95"/>
      <c r="G92" s="95"/>
      <c r="H92" s="95"/>
      <c r="I92" s="95"/>
      <c r="J92" s="95"/>
      <c r="K92" s="37"/>
    </row>
    <row r="93" spans="2:11" x14ac:dyDescent="0.3">
      <c r="B93" s="39"/>
      <c r="C93" s="95"/>
      <c r="D93" s="95"/>
      <c r="E93" s="95"/>
      <c r="F93" s="95"/>
      <c r="G93" s="95"/>
      <c r="H93" s="95"/>
      <c r="I93" s="95"/>
      <c r="J93" s="95"/>
      <c r="K93" s="37"/>
    </row>
    <row r="94" spans="2:11" x14ac:dyDescent="0.3">
      <c r="B94" s="39"/>
      <c r="C94" s="95"/>
      <c r="D94" s="95"/>
      <c r="E94" s="95"/>
      <c r="F94" s="95"/>
      <c r="G94" s="95"/>
      <c r="H94" s="95"/>
      <c r="I94" s="95"/>
      <c r="J94" s="95"/>
      <c r="K94" s="37"/>
    </row>
    <row r="95" spans="2:11" x14ac:dyDescent="0.3">
      <c r="B95" s="39"/>
      <c r="C95" s="95"/>
      <c r="D95" s="95"/>
      <c r="E95" s="95"/>
      <c r="F95" s="95"/>
      <c r="G95" s="95"/>
      <c r="H95" s="95"/>
      <c r="I95" s="95"/>
      <c r="J95" s="95"/>
      <c r="K95" s="37"/>
    </row>
    <row r="96" spans="2:11" x14ac:dyDescent="0.3">
      <c r="B96" s="39"/>
      <c r="C96" s="95"/>
      <c r="D96" s="95"/>
      <c r="E96" s="95"/>
      <c r="F96" s="95"/>
      <c r="G96" s="95"/>
      <c r="H96" s="95"/>
      <c r="I96" s="95"/>
      <c r="J96" s="95"/>
      <c r="K96" s="37"/>
    </row>
    <row r="97" spans="2:11" ht="15" thickBot="1" x14ac:dyDescent="0.35">
      <c r="B97" s="39"/>
      <c r="C97" s="95"/>
      <c r="D97" s="95"/>
      <c r="E97" s="95"/>
      <c r="F97" s="95"/>
      <c r="G97" s="95"/>
      <c r="H97" s="95"/>
      <c r="I97" s="95"/>
      <c r="J97" s="95"/>
      <c r="K97" s="37"/>
    </row>
    <row r="98" spans="2:11" ht="16.2" thickBot="1" x14ac:dyDescent="0.35">
      <c r="B98" s="39"/>
      <c r="C98" s="84" t="s">
        <v>110</v>
      </c>
      <c r="D98" s="96" t="s">
        <v>17</v>
      </c>
      <c r="E98" s="96" t="s">
        <v>18</v>
      </c>
      <c r="F98" s="96" t="s">
        <v>19</v>
      </c>
      <c r="G98" s="96" t="s">
        <v>20</v>
      </c>
      <c r="H98" s="96" t="s">
        <v>21</v>
      </c>
      <c r="I98" s="96" t="s">
        <v>128</v>
      </c>
      <c r="J98" s="95"/>
      <c r="K98" s="37"/>
    </row>
    <row r="99" spans="2:11" ht="15" thickBot="1" x14ac:dyDescent="0.35">
      <c r="B99" s="39"/>
      <c r="C99" s="86" t="s">
        <v>111</v>
      </c>
      <c r="D99" s="106">
        <f>D49</f>
        <v>-11159.36</v>
      </c>
      <c r="E99" s="107">
        <f t="shared" ref="E99:H99" si="6">E49</f>
        <v>-886.39599999999996</v>
      </c>
      <c r="F99" s="107">
        <f t="shared" si="6"/>
        <v>-1075.0356000000002</v>
      </c>
      <c r="G99" s="107">
        <f t="shared" si="6"/>
        <v>-1506.53916</v>
      </c>
      <c r="H99" s="108">
        <f t="shared" si="6"/>
        <v>-1161.193076</v>
      </c>
      <c r="I99" s="95"/>
      <c r="J99" s="95"/>
      <c r="K99" s="37"/>
    </row>
    <row r="100" spans="2:11" ht="15" thickBot="1" x14ac:dyDescent="0.35">
      <c r="B100" s="39"/>
      <c r="C100" s="87" t="s">
        <v>112</v>
      </c>
      <c r="D100" s="90"/>
      <c r="E100" s="90"/>
      <c r="F100" s="90"/>
      <c r="G100" s="90"/>
      <c r="H100" s="91">
        <f>H54</f>
        <v>800</v>
      </c>
      <c r="I100" s="94">
        <f>SUM(D99:H100)</f>
        <v>-14988.523836</v>
      </c>
      <c r="J100" s="95"/>
      <c r="K100" s="37"/>
    </row>
    <row r="101" spans="2:11" ht="15" thickBot="1" x14ac:dyDescent="0.35">
      <c r="B101" s="39"/>
      <c r="C101" s="95"/>
      <c r="D101" s="95"/>
      <c r="E101" s="95"/>
      <c r="F101" s="95"/>
      <c r="G101" s="95"/>
      <c r="H101" s="95"/>
      <c r="I101" s="95"/>
      <c r="J101" s="95"/>
      <c r="K101" s="37"/>
    </row>
    <row r="102" spans="2:11" ht="16.2" thickBot="1" x14ac:dyDescent="0.35">
      <c r="B102" s="39"/>
      <c r="C102" s="84" t="s">
        <v>113</v>
      </c>
      <c r="D102" s="97" t="s">
        <v>114</v>
      </c>
      <c r="E102" s="95"/>
      <c r="F102" s="95"/>
      <c r="G102" s="95"/>
      <c r="H102" s="95"/>
      <c r="I102" s="95"/>
      <c r="J102" s="95"/>
      <c r="K102" s="37"/>
    </row>
    <row r="103" spans="2:11" x14ac:dyDescent="0.3">
      <c r="B103" s="39"/>
      <c r="C103" s="56" t="s">
        <v>115</v>
      </c>
      <c r="D103" s="4"/>
      <c r="E103" s="4"/>
      <c r="F103" s="4"/>
      <c r="G103" s="4"/>
      <c r="H103" s="4"/>
      <c r="I103" s="95"/>
      <c r="J103" s="95"/>
      <c r="K103" s="37"/>
    </row>
    <row r="104" spans="2:11" x14ac:dyDescent="0.3">
      <c r="B104" s="39"/>
      <c r="C104" s="4" t="s">
        <v>116</v>
      </c>
      <c r="D104" s="4"/>
      <c r="E104" s="4"/>
      <c r="F104" s="4"/>
      <c r="G104" s="4"/>
      <c r="H104" s="4"/>
      <c r="I104" s="95"/>
      <c r="J104" s="95"/>
      <c r="K104" s="37"/>
    </row>
    <row r="105" spans="2:11" x14ac:dyDescent="0.3">
      <c r="B105" s="39"/>
      <c r="C105" s="4" t="s">
        <v>117</v>
      </c>
      <c r="D105" s="6">
        <v>600</v>
      </c>
      <c r="E105" s="6">
        <v>600</v>
      </c>
      <c r="F105" s="6">
        <v>600</v>
      </c>
      <c r="G105" s="6">
        <v>600</v>
      </c>
      <c r="H105" s="6">
        <v>600</v>
      </c>
      <c r="I105" s="95"/>
      <c r="J105" s="95"/>
      <c r="K105" s="37"/>
    </row>
    <row r="106" spans="2:11" ht="15" thickBot="1" x14ac:dyDescent="0.35">
      <c r="B106" s="39"/>
      <c r="C106" s="11" t="s">
        <v>119</v>
      </c>
      <c r="D106" s="11"/>
      <c r="E106" s="11"/>
      <c r="F106" s="11"/>
      <c r="G106" s="11"/>
      <c r="H106" s="11"/>
      <c r="I106" s="95"/>
      <c r="J106" s="95"/>
      <c r="K106" s="37"/>
    </row>
    <row r="107" spans="2:11" ht="16.2" thickBot="1" x14ac:dyDescent="0.35">
      <c r="B107" s="39"/>
      <c r="C107" s="57" t="s">
        <v>120</v>
      </c>
      <c r="D107" s="88">
        <f>SUM(D103:D106)</f>
        <v>600</v>
      </c>
      <c r="E107" s="88">
        <f t="shared" ref="E107:H107" si="7">SUM(E103:E106)</f>
        <v>600</v>
      </c>
      <c r="F107" s="88">
        <f t="shared" si="7"/>
        <v>600</v>
      </c>
      <c r="G107" s="88">
        <f t="shared" si="7"/>
        <v>600</v>
      </c>
      <c r="H107" s="92">
        <f t="shared" si="7"/>
        <v>600</v>
      </c>
      <c r="I107" s="105">
        <f>SUM(D107:H107)</f>
        <v>3000</v>
      </c>
      <c r="J107" s="95"/>
      <c r="K107" s="37"/>
    </row>
    <row r="108" spans="2:11" ht="15" thickBot="1" x14ac:dyDescent="0.35">
      <c r="B108" s="39"/>
      <c r="C108" s="95"/>
      <c r="D108" s="95"/>
      <c r="E108" s="95"/>
      <c r="F108" s="95"/>
      <c r="G108" s="95"/>
      <c r="H108" s="95"/>
      <c r="I108" s="95"/>
      <c r="J108" s="95"/>
      <c r="K108" s="37"/>
    </row>
    <row r="109" spans="2:11" ht="16.2" thickBot="1" x14ac:dyDescent="0.35">
      <c r="B109" s="39"/>
      <c r="C109" s="84" t="s">
        <v>121</v>
      </c>
      <c r="D109" s="97" t="s">
        <v>122</v>
      </c>
      <c r="E109" s="95"/>
      <c r="F109" s="95"/>
      <c r="G109" s="95"/>
      <c r="H109" s="95"/>
      <c r="I109" s="95"/>
      <c r="J109" s="95"/>
      <c r="K109" s="37"/>
    </row>
    <row r="110" spans="2:11" x14ac:dyDescent="0.3">
      <c r="B110" s="39"/>
      <c r="C110" s="56" t="s">
        <v>124</v>
      </c>
      <c r="D110" s="6">
        <f>20*-10*50</f>
        <v>-10000</v>
      </c>
      <c r="E110" s="6">
        <f>D110*1.05</f>
        <v>-10500</v>
      </c>
      <c r="F110" s="6">
        <f t="shared" ref="F110:H110" si="8">E110*1.05</f>
        <v>-11025</v>
      </c>
      <c r="G110" s="6">
        <f t="shared" si="8"/>
        <v>-11576.25</v>
      </c>
      <c r="H110" s="6">
        <f t="shared" si="8"/>
        <v>-12155.0625</v>
      </c>
      <c r="I110" s="95"/>
      <c r="J110" s="95"/>
      <c r="K110" s="37"/>
    </row>
    <row r="111" spans="2:11" ht="15" thickBot="1" x14ac:dyDescent="0.35">
      <c r="B111" s="39"/>
      <c r="C111" s="11" t="s">
        <v>125</v>
      </c>
      <c r="D111" s="6">
        <f>D110*-1</f>
        <v>10000</v>
      </c>
      <c r="E111" s="6">
        <f t="shared" ref="E111:H111" si="9">E110*-1</f>
        <v>10500</v>
      </c>
      <c r="F111" s="6">
        <f t="shared" si="9"/>
        <v>11025</v>
      </c>
      <c r="G111" s="6">
        <f t="shared" si="9"/>
        <v>11576.25</v>
      </c>
      <c r="H111" s="6">
        <f t="shared" si="9"/>
        <v>12155.0625</v>
      </c>
      <c r="I111" s="95"/>
      <c r="J111" s="95"/>
      <c r="K111" s="37"/>
    </row>
    <row r="112" spans="2:11" ht="16.2" thickBot="1" x14ac:dyDescent="0.35">
      <c r="B112" s="39"/>
      <c r="C112" s="57" t="s">
        <v>123</v>
      </c>
      <c r="D112" s="109">
        <f>SUM(D110:D111)</f>
        <v>0</v>
      </c>
      <c r="E112" s="109">
        <f>SUM(E110:E111)</f>
        <v>0</v>
      </c>
      <c r="F112" s="109">
        <f>SUM(F110:F111)</f>
        <v>0</v>
      </c>
      <c r="G112" s="109">
        <f>SUM(G110:G111)</f>
        <v>0</v>
      </c>
      <c r="H112" s="110">
        <f>SUM(H110:H111)</f>
        <v>0</v>
      </c>
      <c r="I112" s="93">
        <f>SUM(D112:H112)</f>
        <v>0</v>
      </c>
      <c r="J112" s="95"/>
      <c r="K112" s="37"/>
    </row>
    <row r="113" spans="2:11" ht="15" thickBot="1" x14ac:dyDescent="0.35">
      <c r="B113" s="39"/>
      <c r="C113" s="95"/>
      <c r="D113" s="95"/>
      <c r="E113" s="95"/>
      <c r="F113" s="95"/>
      <c r="G113" s="95"/>
      <c r="H113" s="95"/>
      <c r="I113" s="95"/>
      <c r="J113" s="95"/>
      <c r="K113" s="37"/>
    </row>
    <row r="114" spans="2:11" ht="16.2" thickBot="1" x14ac:dyDescent="0.35">
      <c r="B114" s="39"/>
      <c r="C114" s="57" t="s">
        <v>126</v>
      </c>
      <c r="D114" s="111">
        <f>D111</f>
        <v>10000</v>
      </c>
      <c r="E114" s="111">
        <f t="shared" ref="E114:H114" si="10">E111</f>
        <v>10500</v>
      </c>
      <c r="F114" s="111">
        <f t="shared" si="10"/>
        <v>11025</v>
      </c>
      <c r="G114" s="111">
        <f t="shared" si="10"/>
        <v>11576.25</v>
      </c>
      <c r="H114" s="111">
        <f t="shared" si="10"/>
        <v>12155.0625</v>
      </c>
      <c r="I114" s="89">
        <f>SUM(D114:H114)*-1</f>
        <v>-55256.3125</v>
      </c>
      <c r="J114" s="95"/>
      <c r="K114" s="37"/>
    </row>
    <row r="115" spans="2:11" ht="15" thickBot="1" x14ac:dyDescent="0.35">
      <c r="B115" s="39"/>
      <c r="C115" s="95"/>
      <c r="D115" s="95"/>
      <c r="E115" s="95"/>
      <c r="F115" s="95"/>
      <c r="G115" s="95"/>
      <c r="H115" s="95"/>
      <c r="I115" s="95"/>
      <c r="J115" s="95"/>
      <c r="K115" s="37"/>
    </row>
    <row r="116" spans="2:11" ht="16.2" thickBot="1" x14ac:dyDescent="0.35">
      <c r="B116" s="39"/>
      <c r="C116" s="84" t="s">
        <v>127</v>
      </c>
      <c r="D116" s="97" t="s">
        <v>129</v>
      </c>
      <c r="E116" s="95"/>
      <c r="F116" s="95"/>
      <c r="G116" s="95"/>
      <c r="H116" s="95"/>
      <c r="I116" s="95"/>
      <c r="J116" s="95"/>
      <c r="K116" s="37"/>
    </row>
    <row r="117" spans="2:11" x14ac:dyDescent="0.3">
      <c r="B117" s="39"/>
      <c r="C117" s="56" t="s">
        <v>130</v>
      </c>
      <c r="D117" s="4"/>
      <c r="E117" s="4"/>
      <c r="F117" s="4"/>
      <c r="G117" s="4"/>
      <c r="H117" s="4"/>
      <c r="I117" s="95"/>
      <c r="J117" s="95"/>
      <c r="K117" s="37"/>
    </row>
    <row r="118" spans="2:11" x14ac:dyDescent="0.3">
      <c r="B118" s="39"/>
      <c r="C118" s="4" t="s">
        <v>131</v>
      </c>
      <c r="D118" s="4"/>
      <c r="E118" s="4"/>
      <c r="F118" s="4"/>
      <c r="G118" s="4"/>
      <c r="H118" s="4"/>
      <c r="I118" s="95"/>
      <c r="J118" s="95"/>
      <c r="K118" s="37"/>
    </row>
    <row r="119" spans="2:11" x14ac:dyDescent="0.3">
      <c r="B119" s="39"/>
      <c r="C119" s="4" t="s">
        <v>132</v>
      </c>
      <c r="D119" s="6">
        <v>600</v>
      </c>
      <c r="E119" s="6">
        <v>600</v>
      </c>
      <c r="F119" s="6">
        <v>600</v>
      </c>
      <c r="G119" s="6">
        <v>600</v>
      </c>
      <c r="H119" s="6">
        <v>600</v>
      </c>
      <c r="I119" s="95"/>
      <c r="J119" s="95"/>
      <c r="K119" s="37"/>
    </row>
    <row r="120" spans="2:11" ht="15" thickBot="1" x14ac:dyDescent="0.35">
      <c r="B120" s="39"/>
      <c r="C120" s="11" t="s">
        <v>119</v>
      </c>
      <c r="D120" s="11"/>
      <c r="E120" s="11"/>
      <c r="F120" s="11"/>
      <c r="G120" s="11"/>
      <c r="H120" s="11"/>
      <c r="I120" s="95"/>
      <c r="J120" s="95"/>
      <c r="K120" s="37"/>
    </row>
    <row r="121" spans="2:11" ht="16.2" thickBot="1" x14ac:dyDescent="0.35">
      <c r="B121" s="39"/>
      <c r="C121" s="57" t="s">
        <v>120</v>
      </c>
      <c r="D121" s="109">
        <f>SUM(D117:D120)</f>
        <v>600</v>
      </c>
      <c r="E121" s="109">
        <f t="shared" ref="E121" si="11">SUM(E117:E120)</f>
        <v>600</v>
      </c>
      <c r="F121" s="109">
        <f t="shared" ref="F121" si="12">SUM(F117:F120)</f>
        <v>600</v>
      </c>
      <c r="G121" s="109">
        <f t="shared" ref="G121" si="13">SUM(G117:G120)</f>
        <v>600</v>
      </c>
      <c r="H121" s="110">
        <f t="shared" ref="H121" si="14">SUM(H117:H120)</f>
        <v>600</v>
      </c>
      <c r="I121" s="105">
        <f>SUM(D121:H121)</f>
        <v>3000</v>
      </c>
      <c r="J121" s="95"/>
      <c r="K121" s="37"/>
    </row>
    <row r="122" spans="2:11" s="115" customFormat="1" ht="16.2" thickBot="1" x14ac:dyDescent="0.35">
      <c r="B122" s="112"/>
      <c r="C122" s="113"/>
      <c r="D122" s="98"/>
      <c r="E122" s="98"/>
      <c r="F122" s="98"/>
      <c r="G122" s="98"/>
      <c r="H122" s="98"/>
      <c r="I122" s="100"/>
      <c r="J122" s="99"/>
      <c r="K122" s="114"/>
    </row>
    <row r="123" spans="2:11" s="115" customFormat="1" ht="16.2" thickBot="1" x14ac:dyDescent="0.35">
      <c r="B123" s="112"/>
      <c r="C123" s="84" t="s">
        <v>136</v>
      </c>
      <c r="D123" s="97" t="s">
        <v>134</v>
      </c>
      <c r="E123" s="98"/>
      <c r="F123" s="98"/>
      <c r="G123" s="98"/>
      <c r="H123" s="98"/>
      <c r="I123" s="100"/>
      <c r="J123" s="99"/>
      <c r="K123" s="114"/>
    </row>
    <row r="124" spans="2:11" s="115" customFormat="1" ht="15" thickBot="1" x14ac:dyDescent="0.35">
      <c r="B124" s="112"/>
      <c r="C124" s="4" t="s">
        <v>135</v>
      </c>
      <c r="D124" s="116">
        <f>40*50*6</f>
        <v>12000</v>
      </c>
      <c r="E124" s="116">
        <f>D124</f>
        <v>12000</v>
      </c>
      <c r="F124" s="116">
        <f t="shared" ref="F124:H124" si="15">E124</f>
        <v>12000</v>
      </c>
      <c r="G124" s="116">
        <f t="shared" si="15"/>
        <v>12000</v>
      </c>
      <c r="H124" s="116">
        <f t="shared" si="15"/>
        <v>12000</v>
      </c>
      <c r="I124" s="100"/>
      <c r="J124" s="99"/>
      <c r="K124" s="114"/>
    </row>
    <row r="125" spans="2:11" s="115" customFormat="1" ht="16.2" thickBot="1" x14ac:dyDescent="0.35">
      <c r="B125" s="112"/>
      <c r="C125" s="57" t="s">
        <v>137</v>
      </c>
      <c r="D125" s="109">
        <f>D124*(0.15/50)</f>
        <v>36</v>
      </c>
      <c r="E125" s="109">
        <f>D125*1.05</f>
        <v>37.800000000000004</v>
      </c>
      <c r="F125" s="109">
        <f t="shared" ref="F125:H125" si="16">E125*1.05</f>
        <v>39.690000000000005</v>
      </c>
      <c r="G125" s="109">
        <f t="shared" si="16"/>
        <v>41.674500000000009</v>
      </c>
      <c r="H125" s="117">
        <f t="shared" si="16"/>
        <v>43.75822500000001</v>
      </c>
      <c r="I125" s="100"/>
      <c r="J125" s="99"/>
      <c r="K125" s="114"/>
    </row>
    <row r="126" spans="2:11" ht="15" thickBot="1" x14ac:dyDescent="0.35">
      <c r="B126" s="39"/>
      <c r="C126" s="95"/>
      <c r="D126" s="95"/>
      <c r="E126" s="95"/>
      <c r="F126" s="95"/>
      <c r="G126" s="95"/>
      <c r="H126" s="95"/>
      <c r="I126" s="95"/>
      <c r="J126" s="95"/>
      <c r="K126" s="37"/>
    </row>
    <row r="127" spans="2:11" ht="16.2" thickBot="1" x14ac:dyDescent="0.35">
      <c r="B127" s="39"/>
      <c r="C127" s="101" t="s">
        <v>133</v>
      </c>
      <c r="D127" s="102"/>
      <c r="E127" s="102"/>
      <c r="F127" s="102"/>
      <c r="G127" s="102"/>
      <c r="H127" s="103"/>
      <c r="I127" s="104">
        <f>SUM(I99:I126)</f>
        <v>-64244.836336000008</v>
      </c>
      <c r="J127" s="95"/>
      <c r="K127" s="37"/>
    </row>
    <row r="128" spans="2:11" x14ac:dyDescent="0.3">
      <c r="B128" s="39"/>
      <c r="C128" s="95"/>
      <c r="D128" s="95"/>
      <c r="E128" s="95"/>
      <c r="F128" s="95"/>
      <c r="G128" s="95"/>
      <c r="H128" s="95"/>
      <c r="I128" s="95"/>
      <c r="J128" s="95"/>
      <c r="K128" s="37"/>
    </row>
    <row r="129" spans="2:11" x14ac:dyDescent="0.3">
      <c r="B129" s="39"/>
      <c r="C129" s="95"/>
      <c r="D129" s="95"/>
      <c r="E129" s="95"/>
      <c r="F129" s="95"/>
      <c r="G129" s="95"/>
      <c r="H129" s="95"/>
      <c r="I129" s="95"/>
      <c r="J129" s="50" t="s">
        <v>41</v>
      </c>
      <c r="K129" s="37"/>
    </row>
    <row r="130" spans="2:11" x14ac:dyDescent="0.3">
      <c r="B130" s="39"/>
      <c r="C130" s="95"/>
      <c r="D130" s="95"/>
      <c r="E130" s="95"/>
      <c r="F130" s="95"/>
      <c r="G130" s="95"/>
      <c r="H130" s="95"/>
      <c r="I130" s="95"/>
      <c r="J130" s="49" t="s">
        <v>101</v>
      </c>
      <c r="K130" s="37"/>
    </row>
    <row r="131" spans="2:11" ht="15" thickBot="1" x14ac:dyDescent="0.35">
      <c r="B131" s="40"/>
      <c r="C131" s="41"/>
      <c r="D131" s="41"/>
      <c r="E131" s="41"/>
      <c r="F131" s="41"/>
      <c r="G131" s="41"/>
      <c r="H131" s="41"/>
      <c r="I131" s="41"/>
      <c r="J131" s="41"/>
      <c r="K131" s="42"/>
    </row>
  </sheetData>
  <mergeCells count="1">
    <mergeCell ref="F61:H61"/>
  </mergeCells>
  <hyperlinks>
    <hyperlink ref="C40" r:id="rId1" xr:uid="{F4A7F8B6-6CD0-4104-8692-B19DE9E4F9A3}"/>
    <hyperlink ref="J66" r:id="rId2" xr:uid="{98D38A66-EC08-4D17-8FBC-AAE80E9DEA68}"/>
    <hyperlink ref="J129" r:id="rId3" xr:uid="{FD093066-6EA2-4570-A78A-F515A1F1916A}"/>
  </hyperlinks>
  <pageMargins left="0.7" right="0.7" top="0.78740157499999996" bottom="0.78740157499999996" header="0.3" footer="0.3"/>
  <pageSetup paperSize="9" orientation="portrait" horizontalDpi="0" verticalDpi="0" r:id="rId4"/>
  <ignoredErrors>
    <ignoredError sqref="G40" 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4B7EA-9751-420D-9DF2-E41E3C0F359D}">
  <dimension ref="B1:K46"/>
  <sheetViews>
    <sheetView tabSelected="1" workbookViewId="0">
      <selection activeCell="M8" sqref="M8"/>
    </sheetView>
  </sheetViews>
  <sheetFormatPr baseColWidth="10" defaultRowHeight="14.4" x14ac:dyDescent="0.3"/>
  <cols>
    <col min="1" max="1" width="2.88671875" customWidth="1"/>
    <col min="2" max="2" width="2.77734375" customWidth="1"/>
    <col min="3" max="3" width="21.6640625" customWidth="1"/>
    <col min="9" max="9" width="30.88671875" customWidth="1"/>
  </cols>
  <sheetData>
    <row r="1" spans="2:11" ht="15" thickBot="1" x14ac:dyDescent="0.35"/>
    <row r="2" spans="2:11" x14ac:dyDescent="0.3">
      <c r="B2" s="30"/>
      <c r="C2" s="45"/>
      <c r="D2" s="45"/>
      <c r="E2" s="45"/>
      <c r="F2" s="45"/>
      <c r="G2" s="45"/>
      <c r="H2" s="45"/>
      <c r="I2" s="45"/>
      <c r="J2" s="45"/>
      <c r="K2" s="31"/>
    </row>
    <row r="3" spans="2:11" ht="18" x14ac:dyDescent="0.35">
      <c r="B3" s="39"/>
      <c r="C3" s="2" t="s">
        <v>55</v>
      </c>
      <c r="K3" s="37"/>
    </row>
    <row r="4" spans="2:11" x14ac:dyDescent="0.3">
      <c r="B4" s="39"/>
      <c r="K4" s="37"/>
    </row>
    <row r="5" spans="2:11" x14ac:dyDescent="0.3">
      <c r="B5" s="39"/>
      <c r="K5" s="37"/>
    </row>
    <row r="6" spans="2:11" x14ac:dyDescent="0.3">
      <c r="B6" s="39"/>
      <c r="C6" t="s">
        <v>69</v>
      </c>
      <c r="K6" s="37"/>
    </row>
    <row r="7" spans="2:11" ht="15" thickBot="1" x14ac:dyDescent="0.35">
      <c r="B7" s="39"/>
      <c r="K7" s="37"/>
    </row>
    <row r="8" spans="2:11" ht="16.2" thickBot="1" x14ac:dyDescent="0.35">
      <c r="B8" s="39"/>
      <c r="C8" s="85" t="s">
        <v>99</v>
      </c>
      <c r="K8" s="37"/>
    </row>
    <row r="9" spans="2:11" x14ac:dyDescent="0.3">
      <c r="B9" s="39"/>
      <c r="C9" t="s">
        <v>78</v>
      </c>
      <c r="D9" t="s">
        <v>56</v>
      </c>
      <c r="K9" s="37"/>
    </row>
    <row r="10" spans="2:11" x14ac:dyDescent="0.3">
      <c r="B10" s="39"/>
      <c r="D10" t="s">
        <v>57</v>
      </c>
      <c r="K10" s="37"/>
    </row>
    <row r="11" spans="2:11" x14ac:dyDescent="0.3">
      <c r="B11" s="39"/>
      <c r="K11" s="37"/>
    </row>
    <row r="12" spans="2:11" x14ac:dyDescent="0.3">
      <c r="B12" s="39"/>
      <c r="K12" s="37"/>
    </row>
    <row r="13" spans="2:11" x14ac:dyDescent="0.3">
      <c r="B13" s="39"/>
      <c r="C13" t="s">
        <v>53</v>
      </c>
      <c r="D13" t="s">
        <v>102</v>
      </c>
      <c r="K13" s="37"/>
    </row>
    <row r="14" spans="2:11" x14ac:dyDescent="0.3">
      <c r="B14" s="39"/>
      <c r="D14" t="s">
        <v>103</v>
      </c>
      <c r="K14" s="37"/>
    </row>
    <row r="15" spans="2:11" x14ac:dyDescent="0.3">
      <c r="B15" s="39"/>
      <c r="K15" s="37"/>
    </row>
    <row r="16" spans="2:11" x14ac:dyDescent="0.3">
      <c r="B16" s="39"/>
      <c r="C16" t="s">
        <v>59</v>
      </c>
      <c r="D16" t="s">
        <v>58</v>
      </c>
      <c r="K16" s="37"/>
    </row>
    <row r="17" spans="2:11" x14ac:dyDescent="0.3">
      <c r="B17" s="39"/>
      <c r="D17" t="s">
        <v>83</v>
      </c>
      <c r="K17" s="37"/>
    </row>
    <row r="18" spans="2:11" x14ac:dyDescent="0.3">
      <c r="B18" s="39"/>
      <c r="K18" s="37"/>
    </row>
    <row r="19" spans="2:11" x14ac:dyDescent="0.3">
      <c r="B19" s="39"/>
      <c r="C19" t="s">
        <v>61</v>
      </c>
      <c r="D19" t="s">
        <v>84</v>
      </c>
      <c r="K19" s="37"/>
    </row>
    <row r="20" spans="2:11" x14ac:dyDescent="0.3">
      <c r="B20" s="39"/>
      <c r="D20" t="s">
        <v>60</v>
      </c>
      <c r="K20" s="37"/>
    </row>
    <row r="21" spans="2:11" x14ac:dyDescent="0.3">
      <c r="B21" s="39"/>
      <c r="D21" t="s">
        <v>85</v>
      </c>
      <c r="K21" s="37"/>
    </row>
    <row r="22" spans="2:11" x14ac:dyDescent="0.3">
      <c r="B22" s="39"/>
      <c r="D22" t="s">
        <v>86</v>
      </c>
      <c r="K22" s="37"/>
    </row>
    <row r="23" spans="2:11" x14ac:dyDescent="0.3">
      <c r="B23" s="39"/>
      <c r="K23" s="37"/>
    </row>
    <row r="24" spans="2:11" x14ac:dyDescent="0.3">
      <c r="B24" s="39"/>
      <c r="C24" t="s">
        <v>62</v>
      </c>
      <c r="D24" t="s">
        <v>63</v>
      </c>
      <c r="K24" s="37"/>
    </row>
    <row r="25" spans="2:11" x14ac:dyDescent="0.3">
      <c r="B25" s="39"/>
      <c r="D25" t="s">
        <v>64</v>
      </c>
      <c r="K25" s="37"/>
    </row>
    <row r="26" spans="2:11" x14ac:dyDescent="0.3">
      <c r="B26" s="39"/>
      <c r="K26" s="37"/>
    </row>
    <row r="27" spans="2:11" x14ac:dyDescent="0.3">
      <c r="B27" s="39"/>
      <c r="C27" t="s">
        <v>65</v>
      </c>
      <c r="D27" t="s">
        <v>67</v>
      </c>
      <c r="K27" s="37"/>
    </row>
    <row r="28" spans="2:11" x14ac:dyDescent="0.3">
      <c r="B28" s="39"/>
      <c r="D28" s="77" t="s">
        <v>66</v>
      </c>
      <c r="G28" t="s">
        <v>68</v>
      </c>
      <c r="K28" s="37"/>
    </row>
    <row r="29" spans="2:11" x14ac:dyDescent="0.3">
      <c r="B29" s="39"/>
      <c r="K29" s="37"/>
    </row>
    <row r="30" spans="2:11" x14ac:dyDescent="0.3">
      <c r="B30" s="39"/>
      <c r="C30" t="s">
        <v>70</v>
      </c>
      <c r="D30" t="s">
        <v>87</v>
      </c>
      <c r="K30" s="37"/>
    </row>
    <row r="31" spans="2:11" x14ac:dyDescent="0.3">
      <c r="B31" s="39"/>
      <c r="K31" s="37"/>
    </row>
    <row r="32" spans="2:11" x14ac:dyDescent="0.3">
      <c r="B32" s="39"/>
      <c r="C32" t="s">
        <v>71</v>
      </c>
      <c r="D32" t="s">
        <v>89</v>
      </c>
      <c r="K32" s="37"/>
    </row>
    <row r="33" spans="2:11" x14ac:dyDescent="0.3">
      <c r="B33" s="39"/>
      <c r="D33" t="s">
        <v>74</v>
      </c>
      <c r="E33" s="77" t="s">
        <v>72</v>
      </c>
      <c r="I33" t="s">
        <v>73</v>
      </c>
      <c r="K33" s="37"/>
    </row>
    <row r="34" spans="2:11" x14ac:dyDescent="0.3">
      <c r="B34" s="39"/>
      <c r="K34" s="37"/>
    </row>
    <row r="35" spans="2:11" x14ac:dyDescent="0.3">
      <c r="B35" s="39"/>
      <c r="C35" t="s">
        <v>76</v>
      </c>
      <c r="D35" t="s">
        <v>75</v>
      </c>
      <c r="E35" s="77" t="s">
        <v>66</v>
      </c>
      <c r="K35" s="37"/>
    </row>
    <row r="36" spans="2:11" x14ac:dyDescent="0.3">
      <c r="B36" s="39"/>
      <c r="D36" t="s">
        <v>88</v>
      </c>
      <c r="K36" s="37"/>
    </row>
    <row r="37" spans="2:11" x14ac:dyDescent="0.3">
      <c r="B37" s="39"/>
      <c r="D37" t="s">
        <v>77</v>
      </c>
      <c r="K37" s="37"/>
    </row>
    <row r="38" spans="2:11" x14ac:dyDescent="0.3">
      <c r="B38" s="39"/>
      <c r="K38" s="37"/>
    </row>
    <row r="39" spans="2:11" x14ac:dyDescent="0.3">
      <c r="B39" s="39"/>
      <c r="C39" t="s">
        <v>104</v>
      </c>
      <c r="D39" t="s">
        <v>79</v>
      </c>
      <c r="K39" s="37"/>
    </row>
    <row r="40" spans="2:11" x14ac:dyDescent="0.3">
      <c r="B40" s="39"/>
      <c r="D40" t="s">
        <v>80</v>
      </c>
      <c r="K40" s="37"/>
    </row>
    <row r="41" spans="2:11" x14ac:dyDescent="0.3">
      <c r="B41" s="39"/>
      <c r="D41" t="s">
        <v>105</v>
      </c>
      <c r="K41" s="37"/>
    </row>
    <row r="42" spans="2:11" x14ac:dyDescent="0.3">
      <c r="B42" s="39"/>
      <c r="D42" t="s">
        <v>106</v>
      </c>
      <c r="K42" s="37"/>
    </row>
    <row r="43" spans="2:11" x14ac:dyDescent="0.3">
      <c r="B43" s="39"/>
      <c r="K43" s="37"/>
    </row>
    <row r="44" spans="2:11" ht="15.6" x14ac:dyDescent="0.3">
      <c r="B44" s="39"/>
      <c r="D44" s="78" t="s">
        <v>81</v>
      </c>
      <c r="E44" s="77" t="s">
        <v>82</v>
      </c>
      <c r="J44" s="50" t="s">
        <v>41</v>
      </c>
      <c r="K44" s="37"/>
    </row>
    <row r="45" spans="2:11" x14ac:dyDescent="0.3">
      <c r="B45" s="39"/>
      <c r="J45" s="49" t="s">
        <v>101</v>
      </c>
      <c r="K45" s="37"/>
    </row>
    <row r="46" spans="2:11" ht="15" thickBot="1" x14ac:dyDescent="0.35">
      <c r="B46" s="40"/>
      <c r="C46" s="41"/>
      <c r="D46" s="41"/>
      <c r="E46" s="41"/>
      <c r="F46" s="41"/>
      <c r="G46" s="41"/>
      <c r="H46" s="41"/>
      <c r="I46" s="41"/>
      <c r="J46" s="41"/>
      <c r="K46" s="42"/>
    </row>
  </sheetData>
  <hyperlinks>
    <hyperlink ref="D28" r:id="rId1" xr:uid="{6F5EF582-45D0-4A25-94F4-82EBB297F7B3}"/>
    <hyperlink ref="E33" r:id="rId2" xr:uid="{07030827-6558-4924-9884-115E7AE2243D}"/>
    <hyperlink ref="E35" r:id="rId3" xr:uid="{F02EE8E7-4A7A-45FD-BAF5-318E55031100}"/>
    <hyperlink ref="E44" r:id="rId4" xr:uid="{C5D0B9FB-340D-46F2-B72F-C7A2C8B61980}"/>
    <hyperlink ref="J44" r:id="rId5" xr:uid="{DCE2F021-22DC-4D20-B069-CCC4E33B4891}"/>
  </hyperlinks>
  <pageMargins left="0.7" right="0.7" top="0.78740157499999996" bottom="0.78740157499999996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Beispiel Ankauf</vt:lpstr>
      <vt:lpstr>Beiblatt Erklärungen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 Hager</dc:creator>
  <cp:lastModifiedBy>Alec Hager</cp:lastModifiedBy>
  <dcterms:created xsi:type="dcterms:W3CDTF">2021-12-03T10:03:57Z</dcterms:created>
  <dcterms:modified xsi:type="dcterms:W3CDTF">2025-05-16T16:20:19Z</dcterms:modified>
</cp:coreProperties>
</file>